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455" yWindow="360" windowWidth="20850" windowHeight="15030" tabRatio="806"/>
  </bookViews>
  <sheets>
    <sheet name="меню 1-4 классы" sheetId="8" r:id="rId1"/>
    <sheet name="меню 5-11 классы" sheetId="11" r:id="rId2"/>
  </sheets>
  <definedNames>
    <definedName name="_Hlk57507523" localSheetId="0">'меню 1-4 классы'!$B$3</definedName>
    <definedName name="_xlnm._FilterDatabase" localSheetId="0" hidden="1">'меню 1-4 классы'!$C$3:$C$205</definedName>
    <definedName name="_xlnm.Print_Area" localSheetId="0">'меню 1-4 классы'!$A$1:$L$198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5" i="11" l="1"/>
  <c r="K185" i="11"/>
  <c r="J185" i="11"/>
  <c r="H185" i="11"/>
  <c r="G185" i="11"/>
  <c r="F185" i="11"/>
  <c r="E185" i="11"/>
  <c r="L168" i="11"/>
  <c r="K168" i="11"/>
  <c r="J168" i="11"/>
  <c r="I168" i="11"/>
  <c r="H168" i="11"/>
  <c r="G168" i="11"/>
  <c r="F168" i="11"/>
  <c r="E168" i="11"/>
  <c r="L147" i="11"/>
  <c r="K147" i="11"/>
  <c r="J147" i="11"/>
  <c r="I147" i="11"/>
  <c r="H147" i="11"/>
  <c r="G147" i="11"/>
  <c r="F147" i="11"/>
  <c r="E147" i="11"/>
  <c r="L130" i="11"/>
  <c r="K130" i="11"/>
  <c r="J130" i="11"/>
  <c r="I130" i="11"/>
  <c r="H130" i="11"/>
  <c r="G130" i="11"/>
  <c r="F130" i="11"/>
  <c r="E130" i="11"/>
  <c r="L111" i="11"/>
  <c r="K111" i="11"/>
  <c r="J111" i="11"/>
  <c r="H111" i="11"/>
  <c r="G111" i="11"/>
  <c r="F111" i="11"/>
  <c r="E111" i="11"/>
  <c r="L71" i="11"/>
  <c r="K71" i="11"/>
  <c r="J71" i="11"/>
  <c r="I71" i="11"/>
  <c r="H71" i="11"/>
  <c r="G71" i="11"/>
  <c r="F71" i="11"/>
  <c r="E71" i="11"/>
  <c r="L70" i="11"/>
  <c r="K70" i="11"/>
  <c r="J70" i="11"/>
  <c r="I70" i="11"/>
  <c r="H70" i="11"/>
  <c r="G70" i="11"/>
  <c r="F70" i="11"/>
  <c r="E70" i="11"/>
  <c r="L69" i="11"/>
  <c r="K69" i="11"/>
  <c r="J69" i="11"/>
  <c r="I69" i="11"/>
  <c r="H69" i="11"/>
  <c r="G69" i="11"/>
  <c r="F69" i="11"/>
  <c r="E69" i="11"/>
  <c r="L51" i="11"/>
  <c r="K51" i="11"/>
  <c r="J51" i="11"/>
  <c r="I51" i="11"/>
  <c r="H51" i="11"/>
  <c r="G51" i="11"/>
  <c r="F51" i="11"/>
  <c r="E51" i="11"/>
  <c r="E34" i="11"/>
  <c r="L34" i="11"/>
  <c r="K34" i="11"/>
  <c r="J34" i="11"/>
  <c r="I34" i="11"/>
  <c r="H34" i="11"/>
  <c r="G34" i="11"/>
  <c r="F34" i="11"/>
  <c r="L31" i="11"/>
  <c r="K31" i="11"/>
  <c r="J31" i="11"/>
  <c r="I31" i="11"/>
  <c r="H31" i="11"/>
  <c r="G31" i="11"/>
  <c r="F31" i="11"/>
  <c r="E31" i="11"/>
  <c r="H33" i="11"/>
  <c r="G33" i="11"/>
  <c r="F33" i="11"/>
  <c r="E33" i="11"/>
  <c r="K14" i="11" l="1"/>
  <c r="J14" i="11"/>
  <c r="I14" i="11"/>
  <c r="H14" i="11"/>
  <c r="G14" i="11"/>
  <c r="F14" i="11"/>
  <c r="E14" i="11"/>
  <c r="L13" i="11"/>
  <c r="K13" i="11"/>
  <c r="J13" i="11"/>
  <c r="I13" i="11"/>
  <c r="H13" i="11"/>
  <c r="G13" i="11"/>
  <c r="F13" i="11"/>
  <c r="E13" i="11"/>
  <c r="L12" i="11"/>
  <c r="K12" i="11"/>
  <c r="J12" i="11"/>
  <c r="I12" i="11"/>
  <c r="H12" i="11"/>
  <c r="G12" i="11"/>
  <c r="F12" i="11"/>
  <c r="E12" i="11"/>
  <c r="L15" i="11"/>
  <c r="K15" i="11"/>
  <c r="J15" i="11"/>
  <c r="H15" i="11"/>
  <c r="G15" i="11"/>
  <c r="F15" i="11"/>
  <c r="E15" i="11"/>
  <c r="L116" i="8" l="1"/>
  <c r="K116" i="8"/>
  <c r="J116" i="8"/>
  <c r="H116" i="8"/>
  <c r="G116" i="8"/>
  <c r="F116" i="8"/>
  <c r="E116" i="8"/>
  <c r="L38" i="8"/>
  <c r="K38" i="8"/>
  <c r="J38" i="8"/>
  <c r="H38" i="8"/>
  <c r="G38" i="8"/>
  <c r="F38" i="8"/>
  <c r="L100" i="11" l="1"/>
  <c r="K100" i="11"/>
  <c r="J100" i="11"/>
  <c r="I100" i="11"/>
  <c r="G100" i="11"/>
  <c r="F100" i="11"/>
  <c r="E100" i="11"/>
  <c r="E12" i="8" l="1"/>
  <c r="L167" i="11" l="1"/>
  <c r="K167" i="11"/>
  <c r="J167" i="11"/>
  <c r="I167" i="11"/>
  <c r="H167" i="11"/>
  <c r="G167" i="11"/>
  <c r="F167" i="11"/>
  <c r="E167" i="11"/>
  <c r="L129" i="11" l="1"/>
  <c r="K129" i="11"/>
  <c r="J129" i="11"/>
  <c r="I129" i="11"/>
  <c r="H129" i="11"/>
  <c r="G129" i="11"/>
  <c r="F129" i="11"/>
  <c r="E129" i="11"/>
  <c r="L109" i="11"/>
  <c r="K109" i="11"/>
  <c r="J109" i="11"/>
  <c r="I109" i="11"/>
  <c r="H109" i="11"/>
  <c r="G109" i="11"/>
  <c r="F109" i="11"/>
  <c r="E109" i="11"/>
  <c r="L121" i="11" l="1"/>
  <c r="K121" i="11"/>
  <c r="J121" i="11"/>
  <c r="I121" i="11"/>
  <c r="H121" i="11"/>
  <c r="G121" i="11"/>
  <c r="F121" i="11"/>
  <c r="E121" i="11"/>
  <c r="L6" i="11" l="1"/>
  <c r="K6" i="11"/>
  <c r="J6" i="11"/>
  <c r="I6" i="11"/>
  <c r="H6" i="11"/>
  <c r="G6" i="11"/>
  <c r="F6" i="11"/>
  <c r="H36" i="8" l="1"/>
  <c r="G36" i="8"/>
  <c r="F36" i="8"/>
  <c r="E36" i="8"/>
  <c r="L167" i="8" l="1"/>
  <c r="K167" i="8"/>
  <c r="J167" i="8"/>
  <c r="I167" i="8"/>
  <c r="H167" i="8"/>
  <c r="G167" i="8"/>
  <c r="F167" i="8"/>
  <c r="E167" i="8"/>
  <c r="D167" i="8"/>
  <c r="L156" i="8" l="1"/>
  <c r="K156" i="8"/>
  <c r="J156" i="8"/>
  <c r="I156" i="8"/>
  <c r="H156" i="8"/>
  <c r="G156" i="8"/>
  <c r="F156" i="8"/>
  <c r="E156" i="8"/>
  <c r="D156" i="8"/>
  <c r="L194" i="8"/>
  <c r="K194" i="8"/>
  <c r="J194" i="8"/>
  <c r="I194" i="8"/>
  <c r="H194" i="8"/>
  <c r="G194" i="8"/>
  <c r="F194" i="8"/>
  <c r="E194" i="8"/>
  <c r="D194" i="8"/>
  <c r="L10" i="11" l="1"/>
  <c r="K10" i="11"/>
  <c r="J10" i="11"/>
  <c r="I10" i="11"/>
  <c r="H10" i="11"/>
  <c r="G10" i="11"/>
  <c r="F10" i="11"/>
  <c r="E10" i="11"/>
  <c r="D12" i="8" l="1"/>
  <c r="F12" i="8" l="1"/>
  <c r="G12" i="8"/>
  <c r="H12" i="8"/>
  <c r="I12" i="8"/>
  <c r="J12" i="8"/>
  <c r="K12" i="8"/>
  <c r="L12" i="8"/>
  <c r="D21" i="8"/>
  <c r="D22" i="8" s="1"/>
  <c r="E21" i="8"/>
  <c r="F21" i="8"/>
  <c r="G21" i="8"/>
  <c r="H21" i="8"/>
  <c r="I21" i="8"/>
  <c r="J21" i="8"/>
  <c r="K21" i="8"/>
  <c r="L21" i="8"/>
  <c r="E22" i="8"/>
  <c r="D32" i="8"/>
  <c r="E32" i="8"/>
  <c r="F32" i="8"/>
  <c r="G32" i="8"/>
  <c r="H32" i="8"/>
  <c r="I32" i="8"/>
  <c r="J32" i="8"/>
  <c r="K32" i="8"/>
  <c r="L32" i="8"/>
  <c r="D41" i="8"/>
  <c r="E41" i="8"/>
  <c r="F41" i="8"/>
  <c r="G41" i="8"/>
  <c r="H41" i="8"/>
  <c r="I41" i="8"/>
  <c r="J41" i="8"/>
  <c r="K41" i="8"/>
  <c r="L41" i="8"/>
  <c r="F191" i="11"/>
  <c r="I129" i="8"/>
  <c r="H57" i="11"/>
  <c r="G57" i="11"/>
  <c r="G52" i="8"/>
  <c r="H49" i="11"/>
  <c r="H38" i="11"/>
  <c r="G38" i="11"/>
  <c r="H19" i="11"/>
  <c r="G19" i="11"/>
  <c r="K175" i="8"/>
  <c r="L186" i="8"/>
  <c r="K186" i="8"/>
  <c r="J186" i="8"/>
  <c r="I186" i="8"/>
  <c r="H186" i="8"/>
  <c r="G186" i="8"/>
  <c r="F186" i="8"/>
  <c r="E186" i="8"/>
  <c r="D186" i="8"/>
  <c r="L175" i="8"/>
  <c r="J175" i="8"/>
  <c r="I175" i="8"/>
  <c r="H175" i="8"/>
  <c r="G175" i="8"/>
  <c r="F175" i="8"/>
  <c r="E175" i="8"/>
  <c r="D175" i="8"/>
  <c r="L148" i="8"/>
  <c r="K148" i="8"/>
  <c r="J148" i="8"/>
  <c r="I148" i="8"/>
  <c r="H148" i="8"/>
  <c r="G148" i="8"/>
  <c r="F148" i="8"/>
  <c r="E148" i="8"/>
  <c r="D148" i="8"/>
  <c r="D157" i="8" s="1"/>
  <c r="L137" i="8"/>
  <c r="K137" i="8"/>
  <c r="J137" i="8"/>
  <c r="I137" i="8"/>
  <c r="H137" i="8"/>
  <c r="G137" i="8"/>
  <c r="F137" i="8"/>
  <c r="E137" i="8"/>
  <c r="D137" i="8"/>
  <c r="L129" i="8"/>
  <c r="K129" i="8"/>
  <c r="J129" i="8"/>
  <c r="H129" i="8"/>
  <c r="G129" i="8"/>
  <c r="F129" i="8"/>
  <c r="E129" i="8"/>
  <c r="D129" i="8"/>
  <c r="L118" i="8"/>
  <c r="K118" i="8"/>
  <c r="J118" i="8"/>
  <c r="I118" i="8"/>
  <c r="H118" i="8"/>
  <c r="G118" i="8"/>
  <c r="F118" i="8"/>
  <c r="E118" i="8"/>
  <c r="D118" i="8"/>
  <c r="L109" i="8"/>
  <c r="K109" i="8"/>
  <c r="J109" i="8"/>
  <c r="I109" i="8"/>
  <c r="H109" i="8"/>
  <c r="G109" i="8"/>
  <c r="F109" i="8"/>
  <c r="E109" i="8"/>
  <c r="D109" i="8"/>
  <c r="L97" i="8"/>
  <c r="K97" i="8"/>
  <c r="J97" i="8"/>
  <c r="I97" i="8"/>
  <c r="H97" i="8"/>
  <c r="G97" i="8"/>
  <c r="F97" i="8"/>
  <c r="E97" i="8"/>
  <c r="D97" i="8"/>
  <c r="L89" i="8"/>
  <c r="K89" i="8"/>
  <c r="J89" i="8"/>
  <c r="I89" i="8"/>
  <c r="H89" i="8"/>
  <c r="G89" i="8"/>
  <c r="F89" i="8"/>
  <c r="E89" i="8"/>
  <c r="D89" i="8"/>
  <c r="L78" i="8"/>
  <c r="K78" i="8"/>
  <c r="J78" i="8"/>
  <c r="I78" i="8"/>
  <c r="H78" i="8"/>
  <c r="G78" i="8"/>
  <c r="F78" i="8"/>
  <c r="E78" i="8"/>
  <c r="D78" i="8"/>
  <c r="L70" i="8"/>
  <c r="K70" i="8"/>
  <c r="J70" i="8"/>
  <c r="I70" i="8"/>
  <c r="H70" i="8"/>
  <c r="G70" i="8"/>
  <c r="F70" i="8"/>
  <c r="E70" i="8"/>
  <c r="D70" i="8"/>
  <c r="L60" i="8"/>
  <c r="K60" i="8"/>
  <c r="J60" i="8"/>
  <c r="I60" i="8"/>
  <c r="H60" i="8"/>
  <c r="G60" i="8"/>
  <c r="F60" i="8"/>
  <c r="E60" i="8"/>
  <c r="D60" i="8"/>
  <c r="L52" i="8"/>
  <c r="K52" i="8"/>
  <c r="J52" i="8"/>
  <c r="I52" i="8"/>
  <c r="H52" i="8"/>
  <c r="F52" i="8"/>
  <c r="E52" i="8"/>
  <c r="D52" i="8"/>
  <c r="D191" i="11"/>
  <c r="I22" i="8" l="1"/>
  <c r="K42" i="8"/>
  <c r="G22" i="8"/>
  <c r="I42" i="8"/>
  <c r="E42" i="8"/>
  <c r="J42" i="8"/>
  <c r="L22" i="8"/>
  <c r="H22" i="8"/>
  <c r="J22" i="8"/>
  <c r="F22" i="8"/>
  <c r="H42" i="8"/>
  <c r="F42" i="8"/>
  <c r="K22" i="8"/>
  <c r="D42" i="8"/>
  <c r="G42" i="8"/>
  <c r="L42" i="8"/>
  <c r="D195" i="8"/>
  <c r="D61" i="8"/>
  <c r="E61" i="8"/>
  <c r="F61" i="8"/>
  <c r="G61" i="8"/>
  <c r="H61" i="8"/>
  <c r="I61" i="8"/>
  <c r="J61" i="8"/>
  <c r="K61" i="8"/>
  <c r="L61" i="8"/>
  <c r="D79" i="8"/>
  <c r="E79" i="8"/>
  <c r="F79" i="8"/>
  <c r="G79" i="8"/>
  <c r="H79" i="8"/>
  <c r="I79" i="8"/>
  <c r="J79" i="8"/>
  <c r="K79" i="8"/>
  <c r="L79" i="8"/>
  <c r="D98" i="8"/>
  <c r="E98" i="8"/>
  <c r="F98" i="8"/>
  <c r="G98" i="8"/>
  <c r="H98" i="8"/>
  <c r="I98" i="8"/>
  <c r="J98" i="8"/>
  <c r="K98" i="8"/>
  <c r="L98" i="8"/>
  <c r="D119" i="8"/>
  <c r="E119" i="8"/>
  <c r="F119" i="8"/>
  <c r="G119" i="8"/>
  <c r="H119" i="8"/>
  <c r="I119" i="8"/>
  <c r="J119" i="8"/>
  <c r="K119" i="8"/>
  <c r="L119" i="8"/>
  <c r="D138" i="8"/>
  <c r="E138" i="8"/>
  <c r="F138" i="8"/>
  <c r="G138" i="8"/>
  <c r="H138" i="8"/>
  <c r="I138" i="8"/>
  <c r="J138" i="8"/>
  <c r="K138" i="8"/>
  <c r="L138" i="8"/>
  <c r="E157" i="8"/>
  <c r="F157" i="8"/>
  <c r="G157" i="8"/>
  <c r="H157" i="8"/>
  <c r="I157" i="8"/>
  <c r="J157" i="8"/>
  <c r="K157" i="8"/>
  <c r="L157" i="8"/>
  <c r="D176" i="8"/>
  <c r="E176" i="8"/>
  <c r="F176" i="8"/>
  <c r="G176" i="8"/>
  <c r="H176" i="8"/>
  <c r="I176" i="8"/>
  <c r="J176" i="8"/>
  <c r="K176" i="8"/>
  <c r="L176" i="8"/>
  <c r="E195" i="8"/>
  <c r="F195" i="8"/>
  <c r="G195" i="8"/>
  <c r="H195" i="8"/>
  <c r="I195" i="8"/>
  <c r="J195" i="8"/>
  <c r="K195" i="8"/>
  <c r="L195" i="8"/>
  <c r="D172" i="11"/>
  <c r="E196" i="8" l="1"/>
  <c r="E197" i="8" s="1"/>
  <c r="I196" i="8"/>
  <c r="I197" i="8" s="1"/>
  <c r="L196" i="8"/>
  <c r="L197" i="8" s="1"/>
  <c r="K196" i="8"/>
  <c r="K197" i="8" s="1"/>
  <c r="G196" i="8"/>
  <c r="G197" i="8" s="1"/>
  <c r="H196" i="8"/>
  <c r="H197" i="8" s="1"/>
  <c r="J196" i="8"/>
  <c r="J197" i="8" s="1"/>
  <c r="F196" i="8"/>
  <c r="F197" i="8" s="1"/>
  <c r="D196" i="8"/>
  <c r="D197" i="8" s="1"/>
  <c r="E153" i="11"/>
  <c r="D94" i="11" l="1"/>
  <c r="D10" i="11" l="1"/>
  <c r="L191" i="11" l="1"/>
  <c r="K191" i="11"/>
  <c r="J191" i="11"/>
  <c r="I191" i="11"/>
  <c r="H191" i="11"/>
  <c r="G191" i="11"/>
  <c r="E191" i="11"/>
  <c r="L183" i="11"/>
  <c r="K183" i="11"/>
  <c r="J183" i="11"/>
  <c r="I183" i="11"/>
  <c r="H183" i="11"/>
  <c r="G183" i="11"/>
  <c r="F183" i="11"/>
  <c r="F192" i="11" s="1"/>
  <c r="E183" i="11"/>
  <c r="D183" i="11"/>
  <c r="D192" i="11" s="1"/>
  <c r="L172" i="11"/>
  <c r="K172" i="11"/>
  <c r="J172" i="11"/>
  <c r="I172" i="11"/>
  <c r="H172" i="11"/>
  <c r="G172" i="11"/>
  <c r="F172" i="11"/>
  <c r="E172" i="11"/>
  <c r="L164" i="11"/>
  <c r="K164" i="11"/>
  <c r="J164" i="11"/>
  <c r="I164" i="11"/>
  <c r="H164" i="11"/>
  <c r="G164" i="11"/>
  <c r="F164" i="11"/>
  <c r="E164" i="11"/>
  <c r="D164" i="11"/>
  <c r="L153" i="11"/>
  <c r="K153" i="11"/>
  <c r="J153" i="11"/>
  <c r="I153" i="11"/>
  <c r="H153" i="11"/>
  <c r="G153" i="11"/>
  <c r="F153" i="11"/>
  <c r="D153" i="11"/>
  <c r="L145" i="11"/>
  <c r="K145" i="11"/>
  <c r="J145" i="11"/>
  <c r="I145" i="11"/>
  <c r="H145" i="11"/>
  <c r="G145" i="11"/>
  <c r="F145" i="11"/>
  <c r="E145" i="11"/>
  <c r="D145" i="11"/>
  <c r="L134" i="11"/>
  <c r="K134" i="11"/>
  <c r="J134" i="11"/>
  <c r="I134" i="11"/>
  <c r="H134" i="11"/>
  <c r="G134" i="11"/>
  <c r="F134" i="11"/>
  <c r="E134" i="11"/>
  <c r="D134" i="11"/>
  <c r="L126" i="11"/>
  <c r="K126" i="11"/>
  <c r="J126" i="11"/>
  <c r="I126" i="11"/>
  <c r="H126" i="11"/>
  <c r="G126" i="11"/>
  <c r="F126" i="11"/>
  <c r="E126" i="11"/>
  <c r="D126" i="11"/>
  <c r="L115" i="11"/>
  <c r="K115" i="11"/>
  <c r="J115" i="11"/>
  <c r="I115" i="11"/>
  <c r="H115" i="11"/>
  <c r="G115" i="11"/>
  <c r="F115" i="11"/>
  <c r="E115" i="11"/>
  <c r="D115" i="11"/>
  <c r="L106" i="11"/>
  <c r="K106" i="11"/>
  <c r="J106" i="11"/>
  <c r="I106" i="11"/>
  <c r="H106" i="11"/>
  <c r="G106" i="11"/>
  <c r="F106" i="11"/>
  <c r="E106" i="11"/>
  <c r="D106" i="11"/>
  <c r="L94" i="11"/>
  <c r="K94" i="11"/>
  <c r="J94" i="11"/>
  <c r="I94" i="11"/>
  <c r="H94" i="11"/>
  <c r="G94" i="11"/>
  <c r="F94" i="11"/>
  <c r="E94" i="11"/>
  <c r="L86" i="11"/>
  <c r="K86" i="11"/>
  <c r="J86" i="11"/>
  <c r="I86" i="11"/>
  <c r="H86" i="11"/>
  <c r="G86" i="11"/>
  <c r="F86" i="11"/>
  <c r="E86" i="11"/>
  <c r="D86" i="11"/>
  <c r="L75" i="11"/>
  <c r="K75" i="11"/>
  <c r="J75" i="11"/>
  <c r="I75" i="11"/>
  <c r="H75" i="11"/>
  <c r="G75" i="11"/>
  <c r="F75" i="11"/>
  <c r="E75" i="11"/>
  <c r="D75" i="11"/>
  <c r="L67" i="11"/>
  <c r="K67" i="11"/>
  <c r="J67" i="11"/>
  <c r="I67" i="11"/>
  <c r="H67" i="11"/>
  <c r="G67" i="11"/>
  <c r="F67" i="11"/>
  <c r="E67" i="11"/>
  <c r="D67" i="11"/>
  <c r="L57" i="11"/>
  <c r="K57" i="11"/>
  <c r="J57" i="11"/>
  <c r="I57" i="11"/>
  <c r="F57" i="11"/>
  <c r="E57" i="11"/>
  <c r="D57" i="11"/>
  <c r="L49" i="11"/>
  <c r="K49" i="11"/>
  <c r="J49" i="11"/>
  <c r="I49" i="11"/>
  <c r="G49" i="11"/>
  <c r="F49" i="11"/>
  <c r="E49" i="11"/>
  <c r="D49" i="11"/>
  <c r="L38" i="11"/>
  <c r="K38" i="11"/>
  <c r="J38" i="11"/>
  <c r="I38" i="11"/>
  <c r="F38" i="11"/>
  <c r="E38" i="11"/>
  <c r="D38" i="11"/>
  <c r="L29" i="11"/>
  <c r="K29" i="11"/>
  <c r="J29" i="11"/>
  <c r="I29" i="11"/>
  <c r="H29" i="11"/>
  <c r="G29" i="11"/>
  <c r="F29" i="11"/>
  <c r="E29" i="11"/>
  <c r="D29" i="11"/>
  <c r="L19" i="11"/>
  <c r="K19" i="11"/>
  <c r="J19" i="11"/>
  <c r="I19" i="11"/>
  <c r="F19" i="11"/>
  <c r="E19" i="11"/>
  <c r="D19" i="11"/>
  <c r="L192" i="11" l="1"/>
  <c r="K192" i="11"/>
  <c r="J192" i="11"/>
  <c r="I192" i="11"/>
  <c r="E192" i="11"/>
  <c r="G192" i="11"/>
  <c r="H192" i="11"/>
  <c r="D20" i="11"/>
  <c r="E20" i="11"/>
  <c r="F20" i="11"/>
  <c r="G20" i="11"/>
  <c r="H20" i="11"/>
  <c r="I20" i="11"/>
  <c r="J20" i="11"/>
  <c r="K20" i="11"/>
  <c r="L20" i="11"/>
  <c r="D39" i="11"/>
  <c r="E39" i="11"/>
  <c r="F39" i="11"/>
  <c r="G39" i="11"/>
  <c r="H39" i="11"/>
  <c r="I39" i="11"/>
  <c r="J39" i="11"/>
  <c r="K39" i="11"/>
  <c r="L39" i="11"/>
  <c r="D58" i="11"/>
  <c r="E58" i="11"/>
  <c r="F58" i="11"/>
  <c r="G58" i="11"/>
  <c r="H58" i="11"/>
  <c r="I58" i="11"/>
  <c r="J58" i="11"/>
  <c r="K58" i="11"/>
  <c r="L58" i="11"/>
  <c r="D76" i="11"/>
  <c r="E76" i="11"/>
  <c r="F76" i="11"/>
  <c r="G76" i="11"/>
  <c r="H76" i="11"/>
  <c r="I76" i="11"/>
  <c r="J76" i="11"/>
  <c r="K76" i="11"/>
  <c r="L76" i="11"/>
  <c r="D95" i="11"/>
  <c r="E95" i="11"/>
  <c r="F95" i="11"/>
  <c r="G95" i="11"/>
  <c r="H95" i="11"/>
  <c r="I95" i="11"/>
  <c r="J95" i="11"/>
  <c r="K95" i="11"/>
  <c r="L95" i="11"/>
  <c r="D116" i="11"/>
  <c r="E116" i="11"/>
  <c r="F116" i="11"/>
  <c r="G116" i="11"/>
  <c r="H116" i="11"/>
  <c r="I116" i="11"/>
  <c r="J116" i="11"/>
  <c r="K116" i="11"/>
  <c r="L116" i="11"/>
  <c r="D135" i="11"/>
  <c r="E135" i="11"/>
  <c r="F135" i="11"/>
  <c r="G135" i="11"/>
  <c r="H135" i="11"/>
  <c r="I135" i="11"/>
  <c r="J135" i="11"/>
  <c r="K135" i="11"/>
  <c r="L135" i="11"/>
  <c r="D154" i="11"/>
  <c r="E154" i="11"/>
  <c r="F154" i="11"/>
  <c r="G154" i="11"/>
  <c r="H154" i="11"/>
  <c r="I154" i="11"/>
  <c r="J154" i="11"/>
  <c r="K154" i="11"/>
  <c r="L154" i="11"/>
  <c r="D173" i="11"/>
  <c r="E173" i="11"/>
  <c r="F173" i="11"/>
  <c r="G173" i="11"/>
  <c r="H173" i="11"/>
  <c r="I173" i="11"/>
  <c r="J173" i="11"/>
  <c r="K173" i="11"/>
  <c r="L173" i="11"/>
  <c r="K193" i="11" l="1"/>
  <c r="K194" i="11" s="1"/>
  <c r="L193" i="11"/>
  <c r="L194" i="11" s="1"/>
  <c r="H193" i="11"/>
  <c r="H194" i="11" s="1"/>
  <c r="I193" i="11"/>
  <c r="I194" i="11" s="1"/>
  <c r="E193" i="11"/>
  <c r="E194" i="11" s="1"/>
  <c r="G193" i="11"/>
  <c r="G194" i="11" s="1"/>
  <c r="J193" i="11"/>
  <c r="J194" i="11" s="1"/>
  <c r="F193" i="11"/>
  <c r="F194" i="11" s="1"/>
  <c r="D193" i="11"/>
  <c r="D194" i="11" s="1"/>
</calcChain>
</file>

<file path=xl/sharedStrings.xml><?xml version="1.0" encoding="utf-8"?>
<sst xmlns="http://schemas.openxmlformats.org/spreadsheetml/2006/main" count="820" uniqueCount="138">
  <si>
    <t>Наименование блюда</t>
  </si>
  <si>
    <t>Обед</t>
  </si>
  <si>
    <t>Итого обед:</t>
  </si>
  <si>
    <t>Всего:</t>
  </si>
  <si>
    <t>№, рецептура</t>
  </si>
  <si>
    <t>День 2</t>
  </si>
  <si>
    <t>День 1</t>
  </si>
  <si>
    <t>День 3</t>
  </si>
  <si>
    <t>День 4</t>
  </si>
  <si>
    <t>День 5</t>
  </si>
  <si>
    <t>СРЕДНЕЕ ЗА 1ДЕНЬ:</t>
  </si>
  <si>
    <t>ВСЕГО за 10 дней:</t>
  </si>
  <si>
    <t>Пищевая ценность</t>
  </si>
  <si>
    <t>420/2016</t>
  </si>
  <si>
    <t>18/2016</t>
  </si>
  <si>
    <t>132/2016</t>
  </si>
  <si>
    <t>19/2016</t>
  </si>
  <si>
    <t>403/2016</t>
  </si>
  <si>
    <t>341/2016</t>
  </si>
  <si>
    <t>122/2016</t>
  </si>
  <si>
    <t>13/2016</t>
  </si>
  <si>
    <t xml:space="preserve">  Обед</t>
  </si>
  <si>
    <t>День 6</t>
  </si>
  <si>
    <t>День 7</t>
  </si>
  <si>
    <t>День 8</t>
  </si>
  <si>
    <t>День 9</t>
  </si>
  <si>
    <t>День 10</t>
  </si>
  <si>
    <t>349/2017</t>
  </si>
  <si>
    <t>354/2016</t>
  </si>
  <si>
    <t xml:space="preserve">Завтрак </t>
  </si>
  <si>
    <t>Итого завтрак:</t>
  </si>
  <si>
    <t>226/2016</t>
  </si>
  <si>
    <t>ВСЕГО:</t>
  </si>
  <si>
    <t>198/2016</t>
  </si>
  <si>
    <t xml:space="preserve">           * Овощи натуральные - допускается использование иных овещей ;     ** Фрукт свежий - допускается выдача иных фруктов;     *** Кисломолочный продукт - допускается использование иного кисломолоч. продукта ;</t>
  </si>
  <si>
    <t>Масса порций, г.</t>
  </si>
  <si>
    <t>белки, г.</t>
  </si>
  <si>
    <t>жиры, г.</t>
  </si>
  <si>
    <t>углеводы, г.</t>
  </si>
  <si>
    <t>Энергетическая ценность, ккал.</t>
  </si>
  <si>
    <t>Вит. С, мг.</t>
  </si>
  <si>
    <t>Ca, мг.</t>
  </si>
  <si>
    <t>Mg, мг.</t>
  </si>
  <si>
    <t>Икра из кабачков (консервы)</t>
  </si>
  <si>
    <t>Fе, мг.</t>
  </si>
  <si>
    <t>Макароны, запеченные с сыром</t>
  </si>
  <si>
    <t>Хлеб пшеничный</t>
  </si>
  <si>
    <t>Хлеб ржаной</t>
  </si>
  <si>
    <t>Каша рисовая молочная жидкая</t>
  </si>
  <si>
    <t>Чай с сахаром</t>
  </si>
  <si>
    <t>193/2016</t>
  </si>
  <si>
    <t>Какао с молоком</t>
  </si>
  <si>
    <t>Плов из птицы</t>
  </si>
  <si>
    <t>70/2015</t>
  </si>
  <si>
    <t>Суп картофельный с горохом</t>
  </si>
  <si>
    <t>Каша гречневая</t>
  </si>
  <si>
    <t>Борщ с капустой и картофелем</t>
  </si>
  <si>
    <t>Щи из свежей капусты</t>
  </si>
  <si>
    <t>Салат из моркови с сахаром</t>
  </si>
  <si>
    <t>Каша жидкая молочная  манная</t>
  </si>
  <si>
    <t>418/2016</t>
  </si>
  <si>
    <t>415/2016</t>
  </si>
  <si>
    <t>Масло сливочное</t>
  </si>
  <si>
    <t xml:space="preserve">Омлет натуральный </t>
  </si>
  <si>
    <t>210/2016</t>
  </si>
  <si>
    <t>331/2016</t>
  </si>
  <si>
    <t>484/2016</t>
  </si>
  <si>
    <t>Сок фруктовый</t>
  </si>
  <si>
    <t>Сыр порциями</t>
  </si>
  <si>
    <t>327/2022</t>
  </si>
  <si>
    <t>ТТК</t>
  </si>
  <si>
    <t>131/2010</t>
  </si>
  <si>
    <t>Шницель рубленый куриный с соусом</t>
  </si>
  <si>
    <t>157/20216</t>
  </si>
  <si>
    <t>203/2017</t>
  </si>
  <si>
    <t>Макароны отварные</t>
  </si>
  <si>
    <t>Винегрет овощной</t>
  </si>
  <si>
    <t>67/2017</t>
  </si>
  <si>
    <t>101/2011</t>
  </si>
  <si>
    <t>303/2017</t>
  </si>
  <si>
    <t>54-8з</t>
  </si>
  <si>
    <t>Рассольник Ленинградский</t>
  </si>
  <si>
    <t>Суп крестьянский</t>
  </si>
  <si>
    <t>Паста сливочная</t>
  </si>
  <si>
    <t>62/2015</t>
  </si>
  <si>
    <t>137/2016</t>
  </si>
  <si>
    <t>406/2022</t>
  </si>
  <si>
    <t>181/2017</t>
  </si>
  <si>
    <t>209/2016</t>
  </si>
  <si>
    <t>Яйцо вареное</t>
  </si>
  <si>
    <t>Каша жидкая молочная  геркулесовая</t>
  </si>
  <si>
    <t>Каша жидкая молочная геркулесовая</t>
  </si>
  <si>
    <t>7,46/2010</t>
  </si>
  <si>
    <t>ПП</t>
  </si>
  <si>
    <t>Фрукт свежий (по сезону)</t>
  </si>
  <si>
    <t>182/2017</t>
  </si>
  <si>
    <t>15/2017</t>
  </si>
  <si>
    <t>70/71/2015</t>
  </si>
  <si>
    <t>Рагу из птицы</t>
  </si>
  <si>
    <t>289/2017</t>
  </si>
  <si>
    <t>224/2015</t>
  </si>
  <si>
    <t>Запеканка из творога с морковью со сметаной</t>
  </si>
  <si>
    <t>Горошек консервированный</t>
  </si>
  <si>
    <t>22/2016</t>
  </si>
  <si>
    <t xml:space="preserve">Котлета (биточки) рыбные </t>
  </si>
  <si>
    <t>Картофельное пюре</t>
  </si>
  <si>
    <t>54-13хн</t>
  </si>
  <si>
    <t>Напиток из шиповника</t>
  </si>
  <si>
    <t>Молочная каша пшенная</t>
  </si>
  <si>
    <t xml:space="preserve">Кофейный напиток </t>
  </si>
  <si>
    <t>54-28м</t>
  </si>
  <si>
    <t>Жаркое по -домашнему</t>
  </si>
  <si>
    <t>Компот из сухофруктов</t>
  </si>
  <si>
    <t xml:space="preserve">                    Основное меню   для детей  1-4 классов  </t>
  </si>
  <si>
    <t xml:space="preserve">                Основное меню  для детей  5-11 классов</t>
  </si>
  <si>
    <t>Салат из капусты свежей</t>
  </si>
  <si>
    <t xml:space="preserve">Жаркое по -домашнему </t>
  </si>
  <si>
    <t>Салат из белокочанной капусты с морковью</t>
  </si>
  <si>
    <t>8,9/2011</t>
  </si>
  <si>
    <t>Икра свекольня</t>
  </si>
  <si>
    <t>283/2022</t>
  </si>
  <si>
    <t>Суп-лапшп Домашняя</t>
  </si>
  <si>
    <t xml:space="preserve">Капуста тушеная с мясом </t>
  </si>
  <si>
    <t>Каша вязкая рисовая</t>
  </si>
  <si>
    <t xml:space="preserve">Свекольник </t>
  </si>
  <si>
    <t xml:space="preserve">ТТК </t>
  </si>
  <si>
    <t xml:space="preserve">Салат из свеклы с растит маслом </t>
  </si>
  <si>
    <t xml:space="preserve">Голубцы ленивые с соусом </t>
  </si>
  <si>
    <t>Кондитерское изделие (повидло/джем)</t>
  </si>
  <si>
    <t xml:space="preserve">Овощи натуральные по сезону </t>
  </si>
  <si>
    <t>Кондитерское изделие (печенье)*</t>
  </si>
  <si>
    <t>*Кондитерское изделие - допускается использование иных кондитерских изделий ;</t>
  </si>
  <si>
    <t>Овощи натуральные по сезону</t>
  </si>
  <si>
    <t>*Кондитерское изделие  - допускается использование иных конд. изделий ;</t>
  </si>
  <si>
    <t>Суп-лапша Домашняя</t>
  </si>
  <si>
    <t>378/2017</t>
  </si>
  <si>
    <t>Чай с молоком</t>
  </si>
  <si>
    <t>234/328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</si>
</sst>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292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wrapText="1"/>
    </xf>
    <xf numFmtId="49" fontId="6" fillId="0" borderId="7" xfId="0" applyNumberFormat="1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wrapText="1"/>
    </xf>
    <xf numFmtId="49" fontId="7" fillId="0" borderId="6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/>
    <xf numFmtId="49" fontId="5" fillId="0" borderId="5" xfId="0" applyNumberFormat="1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wrapText="1"/>
    </xf>
    <xf numFmtId="49" fontId="6" fillId="0" borderId="3" xfId="0" applyNumberFormat="1" applyFont="1" applyFill="1" applyBorder="1" applyAlignment="1">
      <alignment wrapText="1"/>
    </xf>
    <xf numFmtId="49" fontId="7" fillId="0" borderId="12" xfId="0" applyNumberFormat="1" applyFont="1" applyFill="1" applyBorder="1" applyAlignment="1">
      <alignment horizontal="center"/>
    </xf>
    <xf numFmtId="2" fontId="7" fillId="0" borderId="0" xfId="0" applyNumberFormat="1" applyFont="1" applyFill="1" applyAlignment="1">
      <alignment horizontal="left" vertical="center"/>
    </xf>
    <xf numFmtId="2" fontId="6" fillId="0" borderId="3" xfId="0" applyNumberFormat="1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left" vertical="center" wrapText="1"/>
    </xf>
    <xf numFmtId="2" fontId="6" fillId="0" borderId="5" xfId="0" applyNumberFormat="1" applyFont="1" applyFill="1" applyBorder="1" applyAlignment="1">
      <alignment horizontal="left" vertical="center" wrapText="1"/>
    </xf>
    <xf numFmtId="2" fontId="6" fillId="0" borderId="17" xfId="0" applyNumberFormat="1" applyFont="1" applyFill="1" applyBorder="1" applyAlignment="1">
      <alignment horizontal="left" vertical="center" wrapText="1"/>
    </xf>
    <xf numFmtId="2" fontId="6" fillId="0" borderId="6" xfId="0" applyNumberFormat="1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2" fontId="6" fillId="0" borderId="2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left" wrapText="1"/>
    </xf>
    <xf numFmtId="2" fontId="5" fillId="0" borderId="7" xfId="0" applyNumberFormat="1" applyFont="1" applyFill="1" applyBorder="1" applyAlignment="1">
      <alignment horizontal="left" wrapText="1"/>
    </xf>
    <xf numFmtId="2" fontId="4" fillId="0" borderId="10" xfId="0" applyNumberFormat="1" applyFont="1" applyFill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left" wrapText="1"/>
    </xf>
    <xf numFmtId="2" fontId="5" fillId="0" borderId="6" xfId="0" applyNumberFormat="1" applyFont="1" applyFill="1" applyBorder="1" applyAlignment="1">
      <alignment horizontal="left" wrapText="1"/>
    </xf>
    <xf numFmtId="2" fontId="5" fillId="0" borderId="1" xfId="0" applyNumberFormat="1" applyFont="1" applyFill="1" applyBorder="1" applyAlignment="1">
      <alignment horizontal="left" wrapText="1"/>
    </xf>
    <xf numFmtId="2" fontId="5" fillId="0" borderId="0" xfId="0" applyNumberFormat="1" applyFont="1" applyFill="1" applyAlignment="1">
      <alignment horizontal="left" wrapText="1"/>
    </xf>
    <xf numFmtId="2" fontId="5" fillId="0" borderId="1" xfId="0" applyNumberFormat="1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left" wrapText="1"/>
    </xf>
    <xf numFmtId="2" fontId="5" fillId="0" borderId="10" xfId="0" applyNumberFormat="1" applyFont="1" applyFill="1" applyBorder="1" applyAlignment="1">
      <alignment horizontal="left" wrapText="1"/>
    </xf>
    <xf numFmtId="2" fontId="4" fillId="0" borderId="14" xfId="1" applyNumberFormat="1" applyFont="1" applyFill="1" applyBorder="1" applyAlignment="1">
      <alignment horizontal="left" wrapText="1"/>
    </xf>
    <xf numFmtId="2" fontId="4" fillId="0" borderId="15" xfId="1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wrapText="1"/>
    </xf>
    <xf numFmtId="2" fontId="5" fillId="0" borderId="11" xfId="0" applyNumberFormat="1" applyFont="1" applyFill="1" applyBorder="1" applyAlignment="1">
      <alignment horizontal="left" vertical="center" wrapText="1"/>
    </xf>
    <xf numFmtId="1" fontId="5" fillId="0" borderId="5" xfId="0" applyNumberFormat="1" applyFont="1" applyFill="1" applyBorder="1" applyAlignment="1">
      <alignment horizontal="center" wrapText="1"/>
    </xf>
    <xf numFmtId="2" fontId="5" fillId="0" borderId="5" xfId="0" applyNumberFormat="1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left"/>
    </xf>
    <xf numFmtId="49" fontId="13" fillId="0" borderId="5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left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2" fontId="14" fillId="0" borderId="5" xfId="0" applyNumberFormat="1" applyFont="1" applyFill="1" applyBorder="1" applyAlignment="1">
      <alignment horizontal="center" vertical="center"/>
    </xf>
    <xf numFmtId="2" fontId="13" fillId="0" borderId="6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left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/>
    </xf>
    <xf numFmtId="2" fontId="13" fillId="0" borderId="6" xfId="0" applyNumberFormat="1" applyFont="1" applyFill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left" wrapText="1"/>
    </xf>
    <xf numFmtId="1" fontId="15" fillId="0" borderId="6" xfId="0" applyNumberFormat="1" applyFont="1" applyFill="1" applyBorder="1" applyAlignment="1">
      <alignment horizontal="center" wrapText="1"/>
    </xf>
    <xf numFmtId="2" fontId="15" fillId="0" borderId="6" xfId="0" applyNumberFormat="1" applyFont="1" applyFill="1" applyBorder="1" applyAlignment="1">
      <alignment horizontal="center" wrapText="1"/>
    </xf>
    <xf numFmtId="2" fontId="15" fillId="0" borderId="5" xfId="0" applyNumberFormat="1" applyFont="1" applyFill="1" applyBorder="1" applyAlignment="1">
      <alignment horizontal="left" vertical="center" wrapText="1"/>
    </xf>
    <xf numFmtId="2" fontId="14" fillId="0" borderId="10" xfId="0" applyNumberFormat="1" applyFont="1" applyFill="1" applyBorder="1" applyAlignment="1">
      <alignment horizontal="left" vertical="center"/>
    </xf>
    <xf numFmtId="2" fontId="14" fillId="0" borderId="10" xfId="0" applyNumberFormat="1" applyFont="1" applyFill="1" applyBorder="1" applyAlignment="1">
      <alignment horizontal="center" vertical="center"/>
    </xf>
    <xf numFmtId="2" fontId="14" fillId="0" borderId="11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left" vertical="center" wrapText="1"/>
    </xf>
    <xf numFmtId="2" fontId="15" fillId="0" borderId="10" xfId="0" applyNumberFormat="1" applyFont="1" applyFill="1" applyBorder="1" applyAlignment="1">
      <alignment horizontal="left" vertical="center" wrapText="1"/>
    </xf>
    <xf numFmtId="1" fontId="15" fillId="0" borderId="10" xfId="0" applyNumberFormat="1" applyFont="1" applyFill="1" applyBorder="1" applyAlignment="1">
      <alignment horizontal="left" vertical="center" wrapText="1"/>
    </xf>
    <xf numFmtId="2" fontId="15" fillId="0" borderId="1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center" vertical="center" wrapText="1"/>
    </xf>
    <xf numFmtId="2" fontId="13" fillId="0" borderId="16" xfId="0" applyNumberFormat="1" applyFont="1" applyFill="1" applyBorder="1" applyAlignment="1">
      <alignment horizontal="left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2" fontId="13" fillId="0" borderId="16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wrapText="1"/>
    </xf>
    <xf numFmtId="1" fontId="15" fillId="0" borderId="5" xfId="0" applyNumberFormat="1" applyFont="1" applyFill="1" applyBorder="1" applyAlignment="1">
      <alignment horizontal="center" wrapText="1"/>
    </xf>
    <xf numFmtId="2" fontId="15" fillId="0" borderId="5" xfId="0" applyNumberFormat="1" applyFont="1" applyFill="1" applyBorder="1" applyAlignment="1">
      <alignment horizontal="center" wrapText="1"/>
    </xf>
    <xf numFmtId="2" fontId="15" fillId="0" borderId="8" xfId="0" applyNumberFormat="1" applyFont="1" applyFill="1" applyBorder="1" applyAlignment="1">
      <alignment horizontal="center" wrapText="1"/>
    </xf>
    <xf numFmtId="2" fontId="15" fillId="0" borderId="10" xfId="0" applyNumberFormat="1" applyFont="1" applyFill="1" applyBorder="1" applyAlignment="1">
      <alignment horizontal="center" wrapText="1"/>
    </xf>
    <xf numFmtId="2" fontId="15" fillId="0" borderId="9" xfId="0" applyNumberFormat="1" applyFont="1" applyFill="1" applyBorder="1" applyAlignment="1">
      <alignment horizontal="center" wrapText="1"/>
    </xf>
    <xf numFmtId="49" fontId="13" fillId="0" borderId="7" xfId="0" applyNumberFormat="1" applyFont="1" applyFill="1" applyBorder="1" applyAlignment="1">
      <alignment horizontal="center" wrapText="1"/>
    </xf>
    <xf numFmtId="2" fontId="15" fillId="0" borderId="7" xfId="0" applyNumberFormat="1" applyFont="1" applyFill="1" applyBorder="1" applyAlignment="1">
      <alignment horizontal="left" wrapText="1"/>
    </xf>
    <xf numFmtId="1" fontId="15" fillId="0" borderId="7" xfId="0" applyNumberFormat="1" applyFont="1" applyFill="1" applyBorder="1" applyAlignment="1">
      <alignment horizontal="center" wrapText="1"/>
    </xf>
    <xf numFmtId="2" fontId="15" fillId="0" borderId="7" xfId="0" applyNumberFormat="1" applyFont="1" applyFill="1" applyBorder="1" applyAlignment="1">
      <alignment horizontal="center" wrapText="1"/>
    </xf>
    <xf numFmtId="49" fontId="15" fillId="0" borderId="5" xfId="0" applyNumberFormat="1" applyFont="1" applyFill="1" applyBorder="1" applyAlignment="1">
      <alignment wrapText="1"/>
    </xf>
    <xf numFmtId="49" fontId="14" fillId="0" borderId="6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Alignment="1">
      <alignment horizontal="left" vertical="center"/>
    </xf>
    <xf numFmtId="2" fontId="13" fillId="0" borderId="4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2" fontId="13" fillId="0" borderId="11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left" wrapText="1"/>
    </xf>
    <xf numFmtId="1" fontId="15" fillId="0" borderId="3" xfId="0" applyNumberFormat="1" applyFont="1" applyFill="1" applyBorder="1" applyAlignment="1">
      <alignment horizontal="center" wrapText="1"/>
    </xf>
    <xf numFmtId="2" fontId="15" fillId="0" borderId="3" xfId="0" applyNumberFormat="1" applyFont="1" applyFill="1" applyBorder="1" applyAlignment="1">
      <alignment horizontal="center" wrapText="1"/>
    </xf>
    <xf numFmtId="2" fontId="14" fillId="0" borderId="2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/>
    <xf numFmtId="2" fontId="15" fillId="0" borderId="6" xfId="0" applyNumberFormat="1" applyFont="1" applyFill="1" applyBorder="1" applyAlignment="1">
      <alignment horizontal="left" wrapText="1"/>
    </xf>
    <xf numFmtId="2" fontId="15" fillId="0" borderId="1" xfId="0" applyNumberFormat="1" applyFont="1" applyFill="1" applyBorder="1" applyAlignment="1">
      <alignment horizontal="left" wrapText="1"/>
    </xf>
    <xf numFmtId="1" fontId="15" fillId="0" borderId="1" xfId="0" applyNumberFormat="1" applyFont="1" applyFill="1" applyBorder="1" applyAlignment="1">
      <alignment horizontal="center" wrapText="1"/>
    </xf>
    <xf numFmtId="2" fontId="15" fillId="0" borderId="0" xfId="0" applyNumberFormat="1" applyFont="1" applyFill="1" applyAlignment="1">
      <alignment horizontal="center" wrapText="1"/>
    </xf>
    <xf numFmtId="49" fontId="15" fillId="0" borderId="5" xfId="0" applyNumberFormat="1" applyFont="1" applyFill="1" applyBorder="1" applyAlignment="1">
      <alignment vertical="center" wrapText="1"/>
    </xf>
    <xf numFmtId="1" fontId="15" fillId="0" borderId="10" xfId="0" applyNumberFormat="1" applyFont="1" applyFill="1" applyBorder="1" applyAlignment="1">
      <alignment vertical="center" wrapText="1"/>
    </xf>
    <xf numFmtId="2" fontId="15" fillId="0" borderId="10" xfId="0" applyNumberFormat="1" applyFont="1" applyFill="1" applyBorder="1" applyAlignment="1">
      <alignment vertical="center" wrapText="1"/>
    </xf>
    <xf numFmtId="2" fontId="15" fillId="0" borderId="2" xfId="0" applyNumberFormat="1" applyFont="1" applyFill="1" applyBorder="1" applyAlignment="1">
      <alignment vertical="center" wrapText="1"/>
    </xf>
    <xf numFmtId="2" fontId="15" fillId="0" borderId="4" xfId="0" applyNumberFormat="1" applyFont="1" applyFill="1" applyBorder="1" applyAlignment="1">
      <alignment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2" fontId="13" fillId="0" borderId="17" xfId="0" applyNumberFormat="1" applyFont="1" applyFill="1" applyBorder="1" applyAlignment="1">
      <alignment horizontal="left" vertical="center" wrapText="1"/>
    </xf>
    <xf numFmtId="1" fontId="13" fillId="0" borderId="17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wrapText="1"/>
    </xf>
    <xf numFmtId="2" fontId="15" fillId="0" borderId="1" xfId="0" applyNumberFormat="1" applyFont="1" applyFill="1" applyBorder="1" applyAlignment="1">
      <alignment horizontal="center" wrapText="1"/>
    </xf>
    <xf numFmtId="2" fontId="14" fillId="0" borderId="17" xfId="0" applyNumberFormat="1" applyFont="1" applyFill="1" applyBorder="1" applyAlignment="1">
      <alignment horizontal="center" vertical="center"/>
    </xf>
    <xf numFmtId="2" fontId="13" fillId="0" borderId="17" xfId="0" applyNumberFormat="1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left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 vertical="center" wrapText="1"/>
    </xf>
    <xf numFmtId="2" fontId="15" fillId="0" borderId="0" xfId="0" applyNumberFormat="1" applyFont="1" applyFill="1" applyAlignment="1">
      <alignment horizontal="left" wrapText="1"/>
    </xf>
    <xf numFmtId="2" fontId="15" fillId="0" borderId="2" xfId="0" applyNumberFormat="1" applyFont="1" applyFill="1" applyBorder="1" applyAlignment="1">
      <alignment horizontal="center" wrapText="1"/>
    </xf>
    <xf numFmtId="49" fontId="15" fillId="0" borderId="6" xfId="0" applyNumberFormat="1" applyFont="1" applyFill="1" applyBorder="1" applyAlignment="1">
      <alignment horizontal="left" wrapText="1"/>
    </xf>
    <xf numFmtId="2" fontId="15" fillId="0" borderId="2" xfId="0" applyNumberFormat="1" applyFont="1" applyFill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center" wrapText="1"/>
    </xf>
    <xf numFmtId="2" fontId="15" fillId="0" borderId="10" xfId="0" applyNumberFormat="1" applyFont="1" applyFill="1" applyBorder="1" applyAlignment="1">
      <alignment horizontal="left" wrapText="1"/>
    </xf>
    <xf numFmtId="2" fontId="15" fillId="0" borderId="11" xfId="0" applyNumberFormat="1" applyFont="1" applyFill="1" applyBorder="1" applyAlignment="1">
      <alignment horizontal="center" wrapText="1"/>
    </xf>
    <xf numFmtId="49" fontId="13" fillId="0" borderId="6" xfId="0" applyNumberFormat="1" applyFont="1" applyFill="1" applyBorder="1" applyAlignment="1">
      <alignment horizontal="center" wrapText="1"/>
    </xf>
    <xf numFmtId="49" fontId="15" fillId="0" borderId="5" xfId="0" applyNumberFormat="1" applyFont="1" applyFill="1" applyBorder="1" applyAlignment="1">
      <alignment horizontal="left" wrapText="1"/>
    </xf>
    <xf numFmtId="1" fontId="15" fillId="0" borderId="10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vertical="center" wrapText="1"/>
    </xf>
    <xf numFmtId="2" fontId="15" fillId="0" borderId="2" xfId="0" applyNumberFormat="1" applyFont="1" applyFill="1" applyBorder="1" applyAlignment="1">
      <alignment horizontal="left" vertical="center" wrapText="1"/>
    </xf>
    <xf numFmtId="1" fontId="15" fillId="0" borderId="2" xfId="0" applyNumberFormat="1" applyFont="1" applyFill="1" applyBorder="1" applyAlignment="1">
      <alignment vertical="center" wrapText="1"/>
    </xf>
    <xf numFmtId="2" fontId="14" fillId="0" borderId="2" xfId="0" applyNumberFormat="1" applyFont="1" applyFill="1" applyBorder="1"/>
    <xf numFmtId="2" fontId="14" fillId="0" borderId="4" xfId="0" applyNumberFormat="1" applyFont="1" applyFill="1" applyBorder="1"/>
    <xf numFmtId="1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left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left" wrapText="1"/>
    </xf>
    <xf numFmtId="1" fontId="15" fillId="2" borderId="1" xfId="0" applyNumberFormat="1" applyFont="1" applyFill="1" applyBorder="1" applyAlignment="1">
      <alignment horizontal="center" wrapText="1"/>
    </xf>
    <xf numFmtId="2" fontId="15" fillId="0" borderId="1" xfId="0" applyNumberFormat="1" applyFont="1" applyBorder="1" applyAlignment="1">
      <alignment horizontal="center" wrapText="1"/>
    </xf>
    <xf numFmtId="2" fontId="15" fillId="2" borderId="1" xfId="0" applyNumberFormat="1" applyFont="1" applyFill="1" applyBorder="1" applyAlignment="1">
      <alignment horizontal="center" wrapText="1"/>
    </xf>
    <xf numFmtId="2" fontId="15" fillId="2" borderId="3" xfId="0" applyNumberFormat="1" applyFont="1" applyFill="1" applyBorder="1" applyAlignment="1">
      <alignment horizontal="center" wrapText="1"/>
    </xf>
    <xf numFmtId="49" fontId="13" fillId="2" borderId="3" xfId="0" applyNumberFormat="1" applyFont="1" applyFill="1" applyBorder="1" applyAlignment="1">
      <alignment wrapText="1"/>
    </xf>
    <xf numFmtId="2" fontId="15" fillId="2" borderId="3" xfId="0" applyNumberFormat="1" applyFont="1" applyFill="1" applyBorder="1" applyAlignment="1">
      <alignment horizontal="left" wrapText="1"/>
    </xf>
    <xf numFmtId="1" fontId="15" fillId="2" borderId="3" xfId="0" applyNumberFormat="1" applyFont="1" applyFill="1" applyBorder="1" applyAlignment="1">
      <alignment horizontal="center" wrapText="1"/>
    </xf>
    <xf numFmtId="49" fontId="14" fillId="0" borderId="12" xfId="0" applyNumberFormat="1" applyFont="1" applyBorder="1" applyAlignment="1">
      <alignment horizontal="center"/>
    </xf>
    <xf numFmtId="2" fontId="16" fillId="3" borderId="14" xfId="1" applyNumberFormat="1" applyFont="1" applyFill="1" applyBorder="1" applyAlignment="1">
      <alignment horizontal="left" wrapText="1"/>
    </xf>
    <xf numFmtId="1" fontId="17" fillId="0" borderId="1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49" fontId="14" fillId="0" borderId="13" xfId="0" applyNumberFormat="1" applyFont="1" applyBorder="1" applyAlignment="1">
      <alignment horizontal="center"/>
    </xf>
    <xf numFmtId="2" fontId="16" fillId="3" borderId="15" xfId="1" applyNumberFormat="1" applyFont="1" applyFill="1" applyBorder="1" applyAlignment="1">
      <alignment horizontal="left" wrapText="1"/>
    </xf>
    <xf numFmtId="1" fontId="17" fillId="0" borderId="5" xfId="0" applyNumberFormat="1" applyFont="1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1" fontId="6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/>
    <xf numFmtId="2" fontId="5" fillId="0" borderId="5" xfId="0" applyNumberFormat="1" applyFont="1" applyFill="1" applyBorder="1" applyAlignment="1">
      <alignment horizontal="left" vertical="center" wrapText="1"/>
    </xf>
    <xf numFmtId="2" fontId="2" fillId="0" borderId="10" xfId="0" applyNumberFormat="1" applyFont="1" applyFill="1" applyBorder="1" applyAlignment="1">
      <alignment horizontal="left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wrapText="1"/>
    </xf>
    <xf numFmtId="165" fontId="5" fillId="0" borderId="6" xfId="0" applyNumberFormat="1" applyFont="1" applyFill="1" applyBorder="1" applyAlignment="1">
      <alignment horizontal="center" wrapText="1"/>
    </xf>
    <xf numFmtId="1" fontId="5" fillId="0" borderId="10" xfId="0" applyNumberFormat="1" applyFont="1" applyFill="1" applyBorder="1" applyAlignment="1">
      <alignment horizontal="left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0" fontId="2" fillId="0" borderId="6" xfId="0" applyFont="1" applyFill="1" applyBorder="1"/>
    <xf numFmtId="2" fontId="5" fillId="0" borderId="8" xfId="0" applyNumberFormat="1" applyFont="1" applyFill="1" applyBorder="1" applyAlignment="1">
      <alignment horizontal="center" wrapText="1"/>
    </xf>
    <xf numFmtId="2" fontId="5" fillId="0" borderId="10" xfId="0" applyNumberFormat="1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wrapText="1"/>
    </xf>
    <xf numFmtId="1" fontId="5" fillId="0" borderId="7" xfId="0" applyNumberFormat="1" applyFont="1" applyFill="1" applyBorder="1" applyAlignment="1">
      <alignment horizontal="center" wrapText="1"/>
    </xf>
    <xf numFmtId="2" fontId="5" fillId="0" borderId="7" xfId="0" applyNumberFormat="1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wrapText="1"/>
    </xf>
    <xf numFmtId="1" fontId="5" fillId="0" borderId="10" xfId="0" applyNumberFormat="1" applyFont="1" applyFill="1" applyBorder="1" applyAlignment="1">
      <alignment vertical="center" wrapText="1"/>
    </xf>
    <xf numFmtId="2" fontId="5" fillId="0" borderId="10" xfId="0" applyNumberFormat="1" applyFont="1" applyFill="1" applyBorder="1" applyAlignment="1">
      <alignment vertical="center" wrapText="1"/>
    </xf>
    <xf numFmtId="2" fontId="5" fillId="0" borderId="2" xfId="0" applyNumberFormat="1" applyFont="1" applyFill="1" applyBorder="1" applyAlignment="1">
      <alignment vertical="center" wrapText="1"/>
    </xf>
    <xf numFmtId="2" fontId="5" fillId="0" borderId="4" xfId="0" applyNumberFormat="1" applyFont="1" applyFill="1" applyBorder="1" applyAlignment="1">
      <alignment vertical="center" wrapText="1"/>
    </xf>
    <xf numFmtId="1" fontId="6" fillId="0" borderId="17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wrapText="1"/>
    </xf>
    <xf numFmtId="2" fontId="7" fillId="0" borderId="17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2" fontId="7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wrapText="1"/>
    </xf>
    <xf numFmtId="1" fontId="5" fillId="0" borderId="10" xfId="0" applyNumberFormat="1" applyFont="1" applyFill="1" applyBorder="1" applyAlignment="1">
      <alignment horizontal="center" wrapText="1"/>
    </xf>
    <xf numFmtId="1" fontId="5" fillId="0" borderId="2" xfId="0" applyNumberFormat="1" applyFont="1" applyFill="1" applyBorder="1" applyAlignment="1">
      <alignment vertical="center" wrapText="1"/>
    </xf>
    <xf numFmtId="2" fontId="7" fillId="0" borderId="2" xfId="0" applyNumberFormat="1" applyFont="1" applyFill="1" applyBorder="1"/>
    <xf numFmtId="2" fontId="7" fillId="0" borderId="4" xfId="0" applyNumberFormat="1" applyFont="1" applyFill="1" applyBorder="1"/>
    <xf numFmtId="1" fontId="8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2" fontId="8" fillId="0" borderId="6" xfId="0" applyNumberFormat="1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49" fontId="7" fillId="0" borderId="2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/>
    </xf>
  </cellXfs>
  <cellStyles count="3">
    <cellStyle name="Обычный" xfId="0" builtinId="0"/>
    <cellStyle name="Обычный 101" xfId="2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6"/>
  <sheetViews>
    <sheetView tabSelected="1" view="pageBreakPreview" topLeftCell="A64" zoomScaleNormal="78" zoomScaleSheetLayoutView="100" workbookViewId="0">
      <selection activeCell="C76" sqref="C76"/>
    </sheetView>
  </sheetViews>
  <sheetFormatPr defaultColWidth="9.140625" defaultRowHeight="39.75" customHeight="1" x14ac:dyDescent="0.25"/>
  <cols>
    <col min="1" max="1" width="4" style="213" customWidth="1"/>
    <col min="2" max="2" width="21.42578125" style="289" customWidth="1"/>
    <col min="3" max="3" width="54" style="288" customWidth="1"/>
    <col min="4" max="4" width="16.5703125" style="289" customWidth="1"/>
    <col min="5" max="5" width="15.42578125" style="289" customWidth="1"/>
    <col min="6" max="6" width="15.140625" style="289" customWidth="1"/>
    <col min="7" max="7" width="14.85546875" style="289" customWidth="1"/>
    <col min="8" max="8" width="18.42578125" style="289" customWidth="1"/>
    <col min="9" max="9" width="13.5703125" style="289" customWidth="1"/>
    <col min="10" max="10" width="14" style="289" customWidth="1"/>
    <col min="11" max="11" width="13.5703125" style="290" customWidth="1"/>
    <col min="12" max="12" width="13.5703125" style="289" customWidth="1"/>
    <col min="13" max="13" width="5.140625" style="213" customWidth="1"/>
    <col min="14" max="16384" width="9.140625" style="213"/>
  </cols>
  <sheetData>
    <row r="1" spans="2:12" ht="24.75" customHeight="1" thickBot="1" x14ac:dyDescent="0.3">
      <c r="B1" s="210" t="s">
        <v>113</v>
      </c>
      <c r="C1" s="211"/>
      <c r="D1" s="211"/>
      <c r="E1" s="211"/>
      <c r="F1" s="211"/>
      <c r="G1" s="211"/>
      <c r="H1" s="211"/>
      <c r="I1" s="211"/>
      <c r="J1" s="211"/>
      <c r="K1" s="211"/>
      <c r="L1" s="212"/>
    </row>
    <row r="2" spans="2:12" ht="16.5" thickBot="1" x14ac:dyDescent="0.3">
      <c r="B2" s="58" t="s">
        <v>6</v>
      </c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2:12" ht="16.5" customHeight="1" thickBot="1" x14ac:dyDescent="0.3">
      <c r="B3" s="197" t="s">
        <v>4</v>
      </c>
      <c r="C3" s="197" t="s">
        <v>0</v>
      </c>
      <c r="D3" s="197" t="s">
        <v>35</v>
      </c>
      <c r="E3" s="202" t="s">
        <v>12</v>
      </c>
      <c r="F3" s="203"/>
      <c r="G3" s="203"/>
      <c r="H3" s="204"/>
      <c r="I3" s="205" t="s">
        <v>40</v>
      </c>
      <c r="J3" s="199" t="s">
        <v>41</v>
      </c>
      <c r="K3" s="199" t="s">
        <v>42</v>
      </c>
      <c r="L3" s="199" t="s">
        <v>44</v>
      </c>
    </row>
    <row r="4" spans="2:12" ht="32.25" thickBot="1" x14ac:dyDescent="0.3">
      <c r="B4" s="198"/>
      <c r="C4" s="198"/>
      <c r="D4" s="198"/>
      <c r="E4" s="61" t="s">
        <v>36</v>
      </c>
      <c r="F4" s="61" t="s">
        <v>37</v>
      </c>
      <c r="G4" s="61" t="s">
        <v>38</v>
      </c>
      <c r="H4" s="61" t="s">
        <v>39</v>
      </c>
      <c r="I4" s="206"/>
      <c r="J4" s="200"/>
      <c r="K4" s="200"/>
      <c r="L4" s="200"/>
    </row>
    <row r="5" spans="2:12" ht="21.75" customHeight="1" thickBot="1" x14ac:dyDescent="0.3">
      <c r="B5" s="214" t="s">
        <v>29</v>
      </c>
      <c r="C5" s="215"/>
      <c r="D5" s="216"/>
      <c r="E5" s="216"/>
      <c r="F5" s="216"/>
      <c r="G5" s="216"/>
      <c r="H5" s="216"/>
      <c r="I5" s="216"/>
      <c r="J5" s="216"/>
      <c r="K5" s="216"/>
      <c r="L5" s="217"/>
    </row>
    <row r="6" spans="2:12" ht="20.25" customHeight="1" thickBot="1" x14ac:dyDescent="0.3">
      <c r="B6" s="14" t="s">
        <v>92</v>
      </c>
      <c r="C6" s="9" t="s">
        <v>43</v>
      </c>
      <c r="D6" s="218">
        <v>60</v>
      </c>
      <c r="E6" s="219">
        <v>0.96</v>
      </c>
      <c r="F6" s="219">
        <v>3.78</v>
      </c>
      <c r="G6" s="219">
        <v>4.4400000000000004</v>
      </c>
      <c r="H6" s="219">
        <v>54.48</v>
      </c>
      <c r="I6" s="220">
        <v>10.199999999999999</v>
      </c>
      <c r="J6" s="220">
        <v>12.6</v>
      </c>
      <c r="K6" s="220">
        <v>3.12</v>
      </c>
      <c r="L6" s="221">
        <v>0.06</v>
      </c>
    </row>
    <row r="7" spans="2:12" ht="21" customHeight="1" thickBot="1" x14ac:dyDescent="0.3">
      <c r="B7" s="8" t="s">
        <v>31</v>
      </c>
      <c r="C7" s="40" t="s">
        <v>45</v>
      </c>
      <c r="D7" s="222">
        <v>150</v>
      </c>
      <c r="E7" s="220">
        <v>10.15</v>
      </c>
      <c r="F7" s="220">
        <v>11.94</v>
      </c>
      <c r="G7" s="220">
        <v>25.58</v>
      </c>
      <c r="H7" s="220">
        <v>250.8</v>
      </c>
      <c r="I7" s="220">
        <v>7.0000000000000007E-2</v>
      </c>
      <c r="J7" s="220">
        <v>215</v>
      </c>
      <c r="K7" s="223">
        <v>15.68</v>
      </c>
      <c r="L7" s="221">
        <v>1.03</v>
      </c>
    </row>
    <row r="8" spans="2:12" ht="18.75" customHeight="1" thickBot="1" x14ac:dyDescent="0.3">
      <c r="B8" s="8" t="s">
        <v>14</v>
      </c>
      <c r="C8" s="40" t="s">
        <v>46</v>
      </c>
      <c r="D8" s="222">
        <v>40</v>
      </c>
      <c r="E8" s="220">
        <v>3.04</v>
      </c>
      <c r="F8" s="220">
        <v>0.32</v>
      </c>
      <c r="G8" s="220">
        <v>19.68</v>
      </c>
      <c r="H8" s="220">
        <v>94</v>
      </c>
      <c r="I8" s="220">
        <v>0</v>
      </c>
      <c r="J8" s="220">
        <v>9.1999999999999993</v>
      </c>
      <c r="K8" s="223">
        <v>13.2</v>
      </c>
      <c r="L8" s="221">
        <v>0.76</v>
      </c>
    </row>
    <row r="9" spans="2:12" ht="19.5" customHeight="1" thickBot="1" x14ac:dyDescent="0.3">
      <c r="B9" s="8" t="s">
        <v>93</v>
      </c>
      <c r="C9" s="37" t="s">
        <v>128</v>
      </c>
      <c r="D9" s="218">
        <v>20</v>
      </c>
      <c r="E9" s="219">
        <v>0.08</v>
      </c>
      <c r="F9" s="219">
        <v>0</v>
      </c>
      <c r="G9" s="219">
        <v>13</v>
      </c>
      <c r="H9" s="219">
        <v>82.4</v>
      </c>
      <c r="I9" s="219">
        <v>0.1</v>
      </c>
      <c r="J9" s="219">
        <v>2.8</v>
      </c>
      <c r="K9" s="223">
        <v>1.4</v>
      </c>
      <c r="L9" s="221">
        <v>0.26</v>
      </c>
    </row>
    <row r="10" spans="2:12" ht="21" customHeight="1" thickBot="1" x14ac:dyDescent="0.3">
      <c r="B10" s="8" t="s">
        <v>16</v>
      </c>
      <c r="C10" s="37" t="s">
        <v>47</v>
      </c>
      <c r="D10" s="194">
        <v>30</v>
      </c>
      <c r="E10" s="38">
        <v>1.98</v>
      </c>
      <c r="F10" s="38">
        <v>0.36</v>
      </c>
      <c r="G10" s="38">
        <v>10.02</v>
      </c>
      <c r="H10" s="38">
        <v>52.2</v>
      </c>
      <c r="I10" s="38">
        <v>0</v>
      </c>
      <c r="J10" s="38">
        <v>9.9</v>
      </c>
      <c r="K10" s="224">
        <v>17.100000000000001</v>
      </c>
      <c r="L10" s="221">
        <v>1.35</v>
      </c>
    </row>
    <row r="11" spans="2:12" ht="21" customHeight="1" thickBot="1" x14ac:dyDescent="0.3">
      <c r="B11" s="8" t="s">
        <v>13</v>
      </c>
      <c r="C11" s="42" t="s">
        <v>49</v>
      </c>
      <c r="D11" s="222">
        <v>200</v>
      </c>
      <c r="E11" s="220">
        <v>0</v>
      </c>
      <c r="F11" s="220">
        <v>0</v>
      </c>
      <c r="G11" s="220">
        <v>6.99</v>
      </c>
      <c r="H11" s="220">
        <v>27.93</v>
      </c>
      <c r="I11" s="220">
        <v>0.05</v>
      </c>
      <c r="J11" s="220">
        <v>2.69</v>
      </c>
      <c r="K11" s="223">
        <v>2.2000000000000002</v>
      </c>
      <c r="L11" s="221">
        <v>0.43</v>
      </c>
    </row>
    <row r="12" spans="2:12" ht="22.5" customHeight="1" thickBot="1" x14ac:dyDescent="0.3">
      <c r="B12" s="12"/>
      <c r="C12" s="46" t="s">
        <v>30</v>
      </c>
      <c r="D12" s="225">
        <f t="shared" ref="D12:L12" si="0">SUM(D6:D11)</f>
        <v>500</v>
      </c>
      <c r="E12" s="226">
        <f t="shared" si="0"/>
        <v>16.209999999999997</v>
      </c>
      <c r="F12" s="62">
        <f t="shared" si="0"/>
        <v>16.399999999999999</v>
      </c>
      <c r="G12" s="62">
        <f t="shared" si="0"/>
        <v>79.709999999999994</v>
      </c>
      <c r="H12" s="62">
        <f t="shared" si="0"/>
        <v>561.81000000000006</v>
      </c>
      <c r="I12" s="62">
        <f t="shared" si="0"/>
        <v>10.42</v>
      </c>
      <c r="J12" s="62">
        <f t="shared" si="0"/>
        <v>252.19</v>
      </c>
      <c r="K12" s="62">
        <f t="shared" si="0"/>
        <v>52.7</v>
      </c>
      <c r="L12" s="62">
        <f t="shared" si="0"/>
        <v>3.8900000000000006</v>
      </c>
    </row>
    <row r="13" spans="2:12" ht="20.25" customHeight="1" thickBot="1" x14ac:dyDescent="0.3">
      <c r="B13" s="13" t="s">
        <v>1</v>
      </c>
      <c r="C13" s="39"/>
      <c r="D13" s="227"/>
      <c r="E13" s="39"/>
      <c r="F13" s="39"/>
      <c r="G13" s="39"/>
      <c r="H13" s="39"/>
      <c r="I13" s="39"/>
      <c r="J13" s="39"/>
      <c r="K13" s="39"/>
      <c r="L13" s="63"/>
    </row>
    <row r="14" spans="2:12" ht="21.75" customHeight="1" thickBot="1" x14ac:dyDescent="0.3">
      <c r="B14" s="10" t="s">
        <v>80</v>
      </c>
      <c r="C14" s="11" t="s">
        <v>117</v>
      </c>
      <c r="D14" s="228">
        <v>60</v>
      </c>
      <c r="E14" s="229">
        <v>1</v>
      </c>
      <c r="F14" s="229">
        <v>6.1</v>
      </c>
      <c r="G14" s="229">
        <v>5.8</v>
      </c>
      <c r="H14" s="229">
        <v>81.5</v>
      </c>
      <c r="I14" s="38">
        <v>23.1</v>
      </c>
      <c r="J14" s="230">
        <v>27</v>
      </c>
      <c r="K14" s="224">
        <v>10</v>
      </c>
      <c r="L14" s="231">
        <v>0.36</v>
      </c>
    </row>
    <row r="15" spans="2:12" ht="21" customHeight="1" thickBot="1" x14ac:dyDescent="0.3">
      <c r="B15" s="14" t="s">
        <v>19</v>
      </c>
      <c r="C15" s="9" t="s">
        <v>81</v>
      </c>
      <c r="D15" s="218">
        <v>200</v>
      </c>
      <c r="E15" s="219">
        <v>1.98</v>
      </c>
      <c r="F15" s="219">
        <v>3.51</v>
      </c>
      <c r="G15" s="219">
        <v>13.74</v>
      </c>
      <c r="H15" s="221">
        <v>95.14</v>
      </c>
      <c r="I15" s="224">
        <v>13.42</v>
      </c>
      <c r="J15" s="232">
        <v>20.309999999999999</v>
      </c>
      <c r="K15" s="224">
        <v>21.25</v>
      </c>
      <c r="L15" s="233">
        <v>0.8</v>
      </c>
    </row>
    <row r="16" spans="2:12" ht="21.75" customHeight="1" thickBot="1" x14ac:dyDescent="0.3">
      <c r="B16" s="15" t="s">
        <v>70</v>
      </c>
      <c r="C16" s="37" t="s">
        <v>104</v>
      </c>
      <c r="D16" s="194">
        <v>90</v>
      </c>
      <c r="E16" s="38">
        <v>11.8</v>
      </c>
      <c r="F16" s="38">
        <v>6.1</v>
      </c>
      <c r="G16" s="38">
        <v>2.7</v>
      </c>
      <c r="H16" s="221">
        <v>112.8</v>
      </c>
      <c r="I16" s="221">
        <v>0.5</v>
      </c>
      <c r="J16" s="230">
        <v>25.9</v>
      </c>
      <c r="K16" s="224">
        <v>22.6</v>
      </c>
      <c r="L16" s="233">
        <v>0.7</v>
      </c>
    </row>
    <row r="17" spans="2:16" ht="21.75" customHeight="1" thickBot="1" x14ac:dyDescent="0.3">
      <c r="B17" s="14" t="s">
        <v>18</v>
      </c>
      <c r="C17" s="9" t="s">
        <v>55</v>
      </c>
      <c r="D17" s="218">
        <v>150</v>
      </c>
      <c r="E17" s="219">
        <v>6.34</v>
      </c>
      <c r="F17" s="219">
        <v>4.91</v>
      </c>
      <c r="G17" s="219">
        <v>28.61</v>
      </c>
      <c r="H17" s="229">
        <v>183.75</v>
      </c>
      <c r="I17" s="38">
        <v>0</v>
      </c>
      <c r="J17" s="45">
        <v>12.55</v>
      </c>
      <c r="K17" s="234">
        <v>100.11</v>
      </c>
      <c r="L17" s="231">
        <v>3.37</v>
      </c>
    </row>
    <row r="18" spans="2:16" ht="21" customHeight="1" thickBot="1" x14ac:dyDescent="0.3">
      <c r="B18" s="14" t="s">
        <v>27</v>
      </c>
      <c r="C18" s="9" t="s">
        <v>112</v>
      </c>
      <c r="D18" s="218">
        <v>180</v>
      </c>
      <c r="E18" s="219">
        <v>1.04</v>
      </c>
      <c r="F18" s="219">
        <v>0.27</v>
      </c>
      <c r="G18" s="219">
        <v>42.53</v>
      </c>
      <c r="H18" s="219">
        <v>176.74</v>
      </c>
      <c r="I18" s="38">
        <v>0.72</v>
      </c>
      <c r="J18" s="45">
        <v>5.26</v>
      </c>
      <c r="K18" s="234">
        <v>30.03</v>
      </c>
      <c r="L18" s="231">
        <v>0.86</v>
      </c>
    </row>
    <row r="19" spans="2:16" ht="21" customHeight="1" thickBot="1" x14ac:dyDescent="0.3">
      <c r="B19" s="8" t="s">
        <v>14</v>
      </c>
      <c r="C19" s="40" t="s">
        <v>46</v>
      </c>
      <c r="D19" s="222">
        <v>40</v>
      </c>
      <c r="E19" s="220">
        <v>3.04</v>
      </c>
      <c r="F19" s="220">
        <v>0.32</v>
      </c>
      <c r="G19" s="220">
        <v>19.68</v>
      </c>
      <c r="H19" s="220">
        <v>94</v>
      </c>
      <c r="I19" s="220">
        <v>0</v>
      </c>
      <c r="J19" s="220">
        <v>9.1999999999999993</v>
      </c>
      <c r="K19" s="223">
        <v>13.2</v>
      </c>
      <c r="L19" s="221">
        <v>0.76</v>
      </c>
    </row>
    <row r="20" spans="2:16" ht="21.75" customHeight="1" thickBot="1" x14ac:dyDescent="0.3">
      <c r="B20" s="8" t="s">
        <v>16</v>
      </c>
      <c r="C20" s="37" t="s">
        <v>47</v>
      </c>
      <c r="D20" s="194">
        <v>30</v>
      </c>
      <c r="E20" s="38">
        <v>1.98</v>
      </c>
      <c r="F20" s="38">
        <v>0.36</v>
      </c>
      <c r="G20" s="38">
        <v>10.02</v>
      </c>
      <c r="H20" s="38">
        <v>52.2</v>
      </c>
      <c r="I20" s="221">
        <v>0</v>
      </c>
      <c r="J20" s="38">
        <v>9.9</v>
      </c>
      <c r="K20" s="224">
        <v>17.100000000000001</v>
      </c>
      <c r="L20" s="221">
        <v>1.35</v>
      </c>
      <c r="P20" s="235"/>
    </row>
    <row r="21" spans="2:16" ht="24" customHeight="1" thickBot="1" x14ac:dyDescent="0.3">
      <c r="B21" s="16"/>
      <c r="C21" s="46" t="s">
        <v>2</v>
      </c>
      <c r="D21" s="64">
        <f t="shared" ref="D21:L21" si="1">SUM(D14:D20)</f>
        <v>750</v>
      </c>
      <c r="E21" s="65">
        <f t="shared" si="1"/>
        <v>27.18</v>
      </c>
      <c r="F21" s="65">
        <f t="shared" si="1"/>
        <v>21.569999999999997</v>
      </c>
      <c r="G21" s="65">
        <f t="shared" si="1"/>
        <v>123.08</v>
      </c>
      <c r="H21" s="65">
        <f t="shared" si="1"/>
        <v>796.13000000000011</v>
      </c>
      <c r="I21" s="236">
        <f t="shared" si="1"/>
        <v>37.74</v>
      </c>
      <c r="J21" s="237">
        <f t="shared" si="1"/>
        <v>110.12000000000002</v>
      </c>
      <c r="K21" s="62">
        <f t="shared" si="1"/>
        <v>214.29</v>
      </c>
      <c r="L21" s="238">
        <f t="shared" si="1"/>
        <v>8.2000000000000011</v>
      </c>
    </row>
    <row r="22" spans="2:16" ht="24.75" customHeight="1" thickBot="1" x14ac:dyDescent="0.3">
      <c r="B22" s="17"/>
      <c r="C22" s="47" t="s">
        <v>3</v>
      </c>
      <c r="D22" s="239">
        <f t="shared" ref="D22:L22" si="2">D21+D12</f>
        <v>1250</v>
      </c>
      <c r="E22" s="240">
        <f t="shared" si="2"/>
        <v>43.39</v>
      </c>
      <c r="F22" s="240">
        <f t="shared" si="2"/>
        <v>37.97</v>
      </c>
      <c r="G22" s="240">
        <f t="shared" si="2"/>
        <v>202.79</v>
      </c>
      <c r="H22" s="240">
        <f t="shared" si="2"/>
        <v>1357.94</v>
      </c>
      <c r="I22" s="240">
        <f t="shared" si="2"/>
        <v>48.160000000000004</v>
      </c>
      <c r="J22" s="240">
        <f t="shared" si="2"/>
        <v>362.31</v>
      </c>
      <c r="K22" s="240">
        <f t="shared" si="2"/>
        <v>266.99</v>
      </c>
      <c r="L22" s="62">
        <f t="shared" si="2"/>
        <v>12.090000000000002</v>
      </c>
    </row>
    <row r="23" spans="2:16" ht="21.75" customHeight="1" thickBot="1" x14ac:dyDescent="0.3">
      <c r="B23" s="18" t="s">
        <v>5</v>
      </c>
      <c r="C23" s="48"/>
      <c r="D23" s="48"/>
      <c r="E23" s="48"/>
      <c r="F23" s="48"/>
      <c r="G23" s="48"/>
      <c r="H23" s="48"/>
      <c r="I23" s="48"/>
      <c r="J23" s="48"/>
      <c r="K23" s="48"/>
      <c r="L23" s="66"/>
    </row>
    <row r="24" spans="2:16" ht="16.5" customHeight="1" thickBot="1" x14ac:dyDescent="0.3">
      <c r="B24" s="195" t="s">
        <v>4</v>
      </c>
      <c r="C24" s="197" t="s">
        <v>0</v>
      </c>
      <c r="D24" s="197" t="s">
        <v>35</v>
      </c>
      <c r="E24" s="202" t="s">
        <v>12</v>
      </c>
      <c r="F24" s="203"/>
      <c r="G24" s="203"/>
      <c r="H24" s="204"/>
      <c r="I24" s="205" t="s">
        <v>40</v>
      </c>
      <c r="J24" s="199" t="s">
        <v>41</v>
      </c>
      <c r="K24" s="199" t="s">
        <v>42</v>
      </c>
      <c r="L24" s="199" t="s">
        <v>44</v>
      </c>
    </row>
    <row r="25" spans="2:16" ht="32.25" thickBot="1" x14ac:dyDescent="0.3">
      <c r="B25" s="196"/>
      <c r="C25" s="198"/>
      <c r="D25" s="198"/>
      <c r="E25" s="61" t="s">
        <v>36</v>
      </c>
      <c r="F25" s="61" t="s">
        <v>37</v>
      </c>
      <c r="G25" s="61" t="s">
        <v>38</v>
      </c>
      <c r="H25" s="61" t="s">
        <v>39</v>
      </c>
      <c r="I25" s="206"/>
      <c r="J25" s="200"/>
      <c r="K25" s="200"/>
      <c r="L25" s="200"/>
    </row>
    <row r="26" spans="2:16" ht="20.25" customHeight="1" thickBot="1" x14ac:dyDescent="0.3">
      <c r="B26" s="13" t="s">
        <v>29</v>
      </c>
      <c r="C26" s="39"/>
      <c r="D26" s="39"/>
      <c r="E26" s="39"/>
      <c r="F26" s="39"/>
      <c r="G26" s="39"/>
      <c r="H26" s="39"/>
      <c r="I26" s="39"/>
      <c r="J26" s="39"/>
      <c r="K26" s="39"/>
      <c r="L26" s="63"/>
    </row>
    <row r="27" spans="2:16" ht="20.25" customHeight="1" thickBot="1" x14ac:dyDescent="0.3">
      <c r="B27" s="8" t="s">
        <v>95</v>
      </c>
      <c r="C27" s="9" t="s">
        <v>48</v>
      </c>
      <c r="D27" s="218">
        <v>200</v>
      </c>
      <c r="E27" s="219">
        <v>12.64</v>
      </c>
      <c r="F27" s="219">
        <v>6.8</v>
      </c>
      <c r="G27" s="219">
        <v>31.6</v>
      </c>
      <c r="H27" s="219">
        <v>252.23</v>
      </c>
      <c r="I27" s="219">
        <v>1.3</v>
      </c>
      <c r="J27" s="219">
        <v>126.9</v>
      </c>
      <c r="K27" s="38">
        <v>36.35</v>
      </c>
      <c r="L27" s="38">
        <v>0.57999999999999996</v>
      </c>
    </row>
    <row r="28" spans="2:16" ht="20.25" customHeight="1" thickBot="1" x14ac:dyDescent="0.3">
      <c r="B28" s="14" t="s">
        <v>96</v>
      </c>
      <c r="C28" s="9" t="s">
        <v>68</v>
      </c>
      <c r="D28" s="218">
        <v>10</v>
      </c>
      <c r="E28" s="219">
        <v>2.0499999999999998</v>
      </c>
      <c r="F28" s="219">
        <v>2.2999999999999998</v>
      </c>
      <c r="G28" s="219">
        <v>0.23</v>
      </c>
      <c r="H28" s="219">
        <v>29.67</v>
      </c>
      <c r="I28" s="219">
        <v>0.06</v>
      </c>
      <c r="J28" s="219">
        <v>70</v>
      </c>
      <c r="K28" s="38">
        <v>3.3</v>
      </c>
      <c r="L28" s="38">
        <v>0.08</v>
      </c>
    </row>
    <row r="29" spans="2:16" ht="20.25" customHeight="1" thickBot="1" x14ac:dyDescent="0.3">
      <c r="B29" s="8" t="s">
        <v>14</v>
      </c>
      <c r="C29" s="9" t="s">
        <v>46</v>
      </c>
      <c r="D29" s="218">
        <v>30</v>
      </c>
      <c r="E29" s="219">
        <v>2.2799999999999998</v>
      </c>
      <c r="F29" s="219">
        <v>0.24</v>
      </c>
      <c r="G29" s="219">
        <v>14.76</v>
      </c>
      <c r="H29" s="219">
        <v>70.5</v>
      </c>
      <c r="I29" s="219">
        <v>0</v>
      </c>
      <c r="J29" s="219">
        <v>6.9</v>
      </c>
      <c r="K29" s="221">
        <v>9.9</v>
      </c>
      <c r="L29" s="221">
        <v>0.56999999999999995</v>
      </c>
    </row>
    <row r="30" spans="2:16" ht="20.25" customHeight="1" thickBot="1" x14ac:dyDescent="0.3">
      <c r="B30" s="8" t="s">
        <v>17</v>
      </c>
      <c r="C30" s="9" t="s">
        <v>94</v>
      </c>
      <c r="D30" s="218">
        <v>100</v>
      </c>
      <c r="E30" s="219">
        <v>0.4</v>
      </c>
      <c r="F30" s="219">
        <v>0.4</v>
      </c>
      <c r="G30" s="219">
        <v>9.8000000000000007</v>
      </c>
      <c r="H30" s="219">
        <v>47</v>
      </c>
      <c r="I30" s="219">
        <v>10</v>
      </c>
      <c r="J30" s="219">
        <v>16</v>
      </c>
      <c r="K30" s="221">
        <v>9</v>
      </c>
      <c r="L30" s="221">
        <v>2.2000000000000002</v>
      </c>
    </row>
    <row r="31" spans="2:16" ht="21" customHeight="1" thickBot="1" x14ac:dyDescent="0.3">
      <c r="B31" s="8" t="s">
        <v>135</v>
      </c>
      <c r="C31" s="42" t="s">
        <v>136</v>
      </c>
      <c r="D31" s="222">
        <v>200</v>
      </c>
      <c r="E31" s="220">
        <v>1.4</v>
      </c>
      <c r="F31" s="220">
        <v>1.25</v>
      </c>
      <c r="G31" s="220">
        <v>14.79</v>
      </c>
      <c r="H31" s="220">
        <v>75.34</v>
      </c>
      <c r="I31" s="220">
        <v>2.63</v>
      </c>
      <c r="J31" s="220">
        <v>117.76</v>
      </c>
      <c r="K31" s="223">
        <v>2.23</v>
      </c>
      <c r="L31" s="221">
        <v>0.33</v>
      </c>
    </row>
    <row r="32" spans="2:16" ht="23.25" customHeight="1" thickBot="1" x14ac:dyDescent="0.3">
      <c r="B32" s="19"/>
      <c r="C32" s="46" t="s">
        <v>30</v>
      </c>
      <c r="D32" s="64">
        <f t="shared" ref="D32:L32" si="3">SUM(D27:D31)</f>
        <v>540</v>
      </c>
      <c r="E32" s="65">
        <f t="shared" si="3"/>
        <v>18.77</v>
      </c>
      <c r="F32" s="65">
        <f t="shared" si="3"/>
        <v>10.99</v>
      </c>
      <c r="G32" s="65">
        <f t="shared" si="3"/>
        <v>71.180000000000007</v>
      </c>
      <c r="H32" s="65">
        <f t="shared" si="3"/>
        <v>474.74</v>
      </c>
      <c r="I32" s="65">
        <f t="shared" si="3"/>
        <v>13.989999999999998</v>
      </c>
      <c r="J32" s="65">
        <f t="shared" si="3"/>
        <v>337.56</v>
      </c>
      <c r="K32" s="65">
        <f t="shared" si="3"/>
        <v>60.779999999999994</v>
      </c>
      <c r="L32" s="62">
        <f t="shared" si="3"/>
        <v>3.7600000000000002</v>
      </c>
    </row>
    <row r="33" spans="2:12" ht="21" customHeight="1" thickBot="1" x14ac:dyDescent="0.3">
      <c r="B33" s="13" t="s">
        <v>1</v>
      </c>
      <c r="C33" s="39"/>
      <c r="D33" s="227"/>
      <c r="E33" s="39"/>
      <c r="F33" s="39"/>
      <c r="G33" s="39"/>
      <c r="H33" s="39"/>
      <c r="I33" s="39"/>
      <c r="J33" s="39"/>
      <c r="K33" s="39"/>
      <c r="L33" s="63"/>
    </row>
    <row r="34" spans="2:12" ht="21" customHeight="1" thickBot="1" x14ac:dyDescent="0.3">
      <c r="B34" s="20" t="s">
        <v>118</v>
      </c>
      <c r="C34" s="36" t="s">
        <v>119</v>
      </c>
      <c r="D34" s="218">
        <v>60</v>
      </c>
      <c r="E34" s="229">
        <v>1.17</v>
      </c>
      <c r="F34" s="229">
        <v>5.0599999999999996</v>
      </c>
      <c r="G34" s="229">
        <v>6.94</v>
      </c>
      <c r="H34" s="229">
        <v>78.05</v>
      </c>
      <c r="I34" s="38">
        <v>8.76</v>
      </c>
      <c r="J34" s="241">
        <v>22.55</v>
      </c>
      <c r="K34" s="234">
        <v>15.1</v>
      </c>
      <c r="L34" s="38">
        <v>0.9</v>
      </c>
    </row>
    <row r="35" spans="2:12" ht="19.5" customHeight="1" thickBot="1" x14ac:dyDescent="0.3">
      <c r="B35" s="21" t="s">
        <v>15</v>
      </c>
      <c r="C35" s="9" t="s">
        <v>54</v>
      </c>
      <c r="D35" s="218">
        <v>200</v>
      </c>
      <c r="E35" s="219">
        <v>4.7</v>
      </c>
      <c r="F35" s="219">
        <v>4.4400000000000004</v>
      </c>
      <c r="G35" s="219">
        <v>15.42</v>
      </c>
      <c r="H35" s="219">
        <v>120.68</v>
      </c>
      <c r="I35" s="38">
        <v>9.1999999999999993</v>
      </c>
      <c r="J35" s="45">
        <v>49.25</v>
      </c>
      <c r="K35" s="223">
        <v>30.61</v>
      </c>
      <c r="L35" s="221">
        <v>2</v>
      </c>
    </row>
    <row r="36" spans="2:12" ht="19.5" customHeight="1" thickBot="1" x14ac:dyDescent="0.3">
      <c r="B36" s="8" t="s">
        <v>70</v>
      </c>
      <c r="C36" s="9" t="s">
        <v>72</v>
      </c>
      <c r="D36" s="218">
        <v>100</v>
      </c>
      <c r="E36" s="219">
        <f>18.34+0.25</f>
        <v>18.59</v>
      </c>
      <c r="F36" s="219">
        <f>10.5+0.88</f>
        <v>11.38</v>
      </c>
      <c r="G36" s="219">
        <f>13.6+1.57</f>
        <v>15.17</v>
      </c>
      <c r="H36" s="221">
        <f>15.25+159.65</f>
        <v>174.9</v>
      </c>
      <c r="I36" s="221">
        <v>1.21</v>
      </c>
      <c r="J36" s="242">
        <v>1.25</v>
      </c>
      <c r="K36" s="224">
        <v>2.04</v>
      </c>
      <c r="L36" s="221">
        <v>0.08</v>
      </c>
    </row>
    <row r="37" spans="2:12" ht="21" customHeight="1" thickBot="1" x14ac:dyDescent="0.3">
      <c r="B37" s="14" t="s">
        <v>28</v>
      </c>
      <c r="C37" s="9" t="s">
        <v>105</v>
      </c>
      <c r="D37" s="218">
        <v>150</v>
      </c>
      <c r="E37" s="219">
        <v>3.25</v>
      </c>
      <c r="F37" s="219">
        <v>4.34</v>
      </c>
      <c r="G37" s="219">
        <v>22.05</v>
      </c>
      <c r="H37" s="229">
        <v>140.69</v>
      </c>
      <c r="I37" s="221">
        <v>25.95</v>
      </c>
      <c r="J37" s="230">
        <v>46.43</v>
      </c>
      <c r="K37" s="224">
        <v>33.01</v>
      </c>
      <c r="L37" s="221">
        <v>1.23</v>
      </c>
    </row>
    <row r="38" spans="2:12" ht="21.75" customHeight="1" thickBot="1" x14ac:dyDescent="0.3">
      <c r="B38" s="14" t="s">
        <v>14</v>
      </c>
      <c r="C38" s="9" t="s">
        <v>46</v>
      </c>
      <c r="D38" s="218">
        <v>20</v>
      </c>
      <c r="E38" s="219">
        <v>1.52</v>
      </c>
      <c r="F38" s="219">
        <f>0.32/2</f>
        <v>0.16</v>
      </c>
      <c r="G38" s="219">
        <f>19.68/2</f>
        <v>9.84</v>
      </c>
      <c r="H38" s="219">
        <f>94/2</f>
        <v>47</v>
      </c>
      <c r="I38" s="224">
        <v>0</v>
      </c>
      <c r="J38" s="232">
        <f>9.2/2</f>
        <v>4.5999999999999996</v>
      </c>
      <c r="K38" s="224">
        <f>13.2/2</f>
        <v>6.6</v>
      </c>
      <c r="L38" s="224">
        <f>0.76/2</f>
        <v>0.38</v>
      </c>
    </row>
    <row r="39" spans="2:12" ht="22.5" customHeight="1" thickBot="1" x14ac:dyDescent="0.3">
      <c r="B39" s="8" t="s">
        <v>16</v>
      </c>
      <c r="C39" s="37" t="s">
        <v>47</v>
      </c>
      <c r="D39" s="194">
        <v>30</v>
      </c>
      <c r="E39" s="38">
        <v>1.98</v>
      </c>
      <c r="F39" s="38">
        <v>0.36</v>
      </c>
      <c r="G39" s="38">
        <v>10.02</v>
      </c>
      <c r="H39" s="219">
        <v>52.2</v>
      </c>
      <c r="I39" s="221">
        <v>0</v>
      </c>
      <c r="J39" s="230">
        <v>9.9</v>
      </c>
      <c r="K39" s="224">
        <v>17.100000000000001</v>
      </c>
      <c r="L39" s="221">
        <v>1.35</v>
      </c>
    </row>
    <row r="40" spans="2:12" ht="20.25" customHeight="1" thickBot="1" x14ac:dyDescent="0.3">
      <c r="B40" s="8" t="s">
        <v>106</v>
      </c>
      <c r="C40" s="37" t="s">
        <v>107</v>
      </c>
      <c r="D40" s="194">
        <v>180</v>
      </c>
      <c r="E40" s="38">
        <v>0.46</v>
      </c>
      <c r="F40" s="38">
        <v>0.19</v>
      </c>
      <c r="G40" s="38">
        <v>9.2200000000000006</v>
      </c>
      <c r="H40" s="219">
        <v>49.11</v>
      </c>
      <c r="I40" s="221">
        <v>135</v>
      </c>
      <c r="J40" s="230">
        <v>8.18</v>
      </c>
      <c r="K40" s="224">
        <v>2.2999999999999998</v>
      </c>
      <c r="L40" s="221">
        <v>0.41</v>
      </c>
    </row>
    <row r="41" spans="2:12" ht="20.25" customHeight="1" thickBot="1" x14ac:dyDescent="0.3">
      <c r="B41" s="15"/>
      <c r="C41" s="49" t="s">
        <v>2</v>
      </c>
      <c r="D41" s="243">
        <f t="shared" ref="D41:L41" si="4">SUM(D34:D40)</f>
        <v>740</v>
      </c>
      <c r="E41" s="244">
        <f t="shared" si="4"/>
        <v>31.67</v>
      </c>
      <c r="F41" s="244">
        <f t="shared" si="4"/>
        <v>25.930000000000003</v>
      </c>
      <c r="G41" s="244">
        <f t="shared" si="4"/>
        <v>88.66</v>
      </c>
      <c r="H41" s="244">
        <f t="shared" si="4"/>
        <v>662.63</v>
      </c>
      <c r="I41" s="244">
        <f t="shared" si="4"/>
        <v>180.12</v>
      </c>
      <c r="J41" s="244">
        <f t="shared" si="4"/>
        <v>142.16</v>
      </c>
      <c r="K41" s="244">
        <f t="shared" si="4"/>
        <v>106.75999999999998</v>
      </c>
      <c r="L41" s="244">
        <f t="shared" si="4"/>
        <v>6.35</v>
      </c>
    </row>
    <row r="42" spans="2:12" ht="23.25" customHeight="1" thickBot="1" x14ac:dyDescent="0.3">
      <c r="B42" s="8"/>
      <c r="C42" s="46" t="s">
        <v>3</v>
      </c>
      <c r="D42" s="64">
        <f t="shared" ref="D42:L42" si="5">D41+D32</f>
        <v>1280</v>
      </c>
      <c r="E42" s="65">
        <f t="shared" si="5"/>
        <v>50.44</v>
      </c>
      <c r="F42" s="65">
        <f t="shared" si="5"/>
        <v>36.92</v>
      </c>
      <c r="G42" s="65">
        <f t="shared" si="5"/>
        <v>159.84</v>
      </c>
      <c r="H42" s="65">
        <f t="shared" si="5"/>
        <v>1137.3699999999999</v>
      </c>
      <c r="I42" s="65">
        <f t="shared" si="5"/>
        <v>194.11</v>
      </c>
      <c r="J42" s="65">
        <f t="shared" si="5"/>
        <v>479.72</v>
      </c>
      <c r="K42" s="65">
        <f t="shared" si="5"/>
        <v>167.53999999999996</v>
      </c>
      <c r="L42" s="62">
        <f t="shared" si="5"/>
        <v>10.11</v>
      </c>
    </row>
    <row r="43" spans="2:12" ht="23.25" customHeight="1" thickBot="1" x14ac:dyDescent="0.3">
      <c r="B43" s="18" t="s">
        <v>7</v>
      </c>
      <c r="C43" s="48"/>
      <c r="D43" s="48"/>
      <c r="E43" s="48"/>
      <c r="F43" s="48"/>
      <c r="G43" s="48"/>
      <c r="H43" s="48"/>
      <c r="I43" s="48"/>
      <c r="J43" s="48"/>
      <c r="K43" s="48"/>
      <c r="L43" s="66"/>
    </row>
    <row r="44" spans="2:12" ht="16.5" customHeight="1" thickBot="1" x14ac:dyDescent="0.3">
      <c r="B44" s="195" t="s">
        <v>4</v>
      </c>
      <c r="C44" s="197" t="s">
        <v>0</v>
      </c>
      <c r="D44" s="197" t="s">
        <v>35</v>
      </c>
      <c r="E44" s="202" t="s">
        <v>12</v>
      </c>
      <c r="F44" s="203"/>
      <c r="G44" s="203"/>
      <c r="H44" s="204"/>
      <c r="I44" s="205" t="s">
        <v>40</v>
      </c>
      <c r="J44" s="199" t="s">
        <v>41</v>
      </c>
      <c r="K44" s="199" t="s">
        <v>42</v>
      </c>
      <c r="L44" s="199" t="s">
        <v>44</v>
      </c>
    </row>
    <row r="45" spans="2:12" ht="32.25" thickBot="1" x14ac:dyDescent="0.3">
      <c r="B45" s="196"/>
      <c r="C45" s="198"/>
      <c r="D45" s="198"/>
      <c r="E45" s="61" t="s">
        <v>36</v>
      </c>
      <c r="F45" s="61" t="s">
        <v>37</v>
      </c>
      <c r="G45" s="61" t="s">
        <v>38</v>
      </c>
      <c r="H45" s="61" t="s">
        <v>39</v>
      </c>
      <c r="I45" s="206"/>
      <c r="J45" s="200"/>
      <c r="K45" s="200"/>
      <c r="L45" s="200"/>
    </row>
    <row r="46" spans="2:12" ht="19.5" customHeight="1" thickBot="1" x14ac:dyDescent="0.3">
      <c r="B46" s="13" t="s">
        <v>29</v>
      </c>
      <c r="C46" s="39"/>
      <c r="D46" s="39"/>
      <c r="E46" s="39"/>
      <c r="F46" s="39"/>
      <c r="G46" s="39"/>
      <c r="H46" s="39"/>
      <c r="I46" s="39"/>
      <c r="J46" s="39"/>
      <c r="K46" s="39"/>
      <c r="L46" s="63"/>
    </row>
    <row r="47" spans="2:12" ht="21" customHeight="1" thickBot="1" x14ac:dyDescent="0.3">
      <c r="B47" s="10" t="s">
        <v>97</v>
      </c>
      <c r="C47" s="9" t="s">
        <v>129</v>
      </c>
      <c r="D47" s="218">
        <v>60</v>
      </c>
      <c r="E47" s="229">
        <v>0.42</v>
      </c>
      <c r="F47" s="229">
        <v>0.06</v>
      </c>
      <c r="G47" s="229">
        <v>1.1399999999999999</v>
      </c>
      <c r="H47" s="229">
        <v>6.6</v>
      </c>
      <c r="I47" s="38">
        <v>6</v>
      </c>
      <c r="J47" s="241">
        <v>13.8</v>
      </c>
      <c r="K47" s="224">
        <v>8.4</v>
      </c>
      <c r="L47" s="221">
        <v>0.54</v>
      </c>
    </row>
    <row r="48" spans="2:12" ht="21.75" customHeight="1" thickBot="1" x14ac:dyDescent="0.3">
      <c r="B48" s="8" t="s">
        <v>99</v>
      </c>
      <c r="C48" s="40" t="s">
        <v>98</v>
      </c>
      <c r="D48" s="222">
        <v>200</v>
      </c>
      <c r="E48" s="220">
        <v>14.35</v>
      </c>
      <c r="F48" s="220">
        <v>13.39</v>
      </c>
      <c r="G48" s="220">
        <v>20.260000000000002</v>
      </c>
      <c r="H48" s="220">
        <v>248</v>
      </c>
      <c r="I48" s="220">
        <v>12.94</v>
      </c>
      <c r="J48" s="220">
        <v>42.05</v>
      </c>
      <c r="K48" s="223">
        <v>44.22</v>
      </c>
      <c r="L48" s="221">
        <v>2.19</v>
      </c>
    </row>
    <row r="49" spans="2:12" ht="20.25" customHeight="1" thickBot="1" x14ac:dyDescent="0.3">
      <c r="B49" s="8" t="s">
        <v>14</v>
      </c>
      <c r="C49" s="9" t="s">
        <v>46</v>
      </c>
      <c r="D49" s="222">
        <v>30</v>
      </c>
      <c r="E49" s="220">
        <v>2.2799999999999998</v>
      </c>
      <c r="F49" s="220">
        <v>0.24</v>
      </c>
      <c r="G49" s="220">
        <v>14.76</v>
      </c>
      <c r="H49" s="220">
        <v>70.5</v>
      </c>
      <c r="I49" s="220">
        <v>0</v>
      </c>
      <c r="J49" s="220">
        <v>6.9</v>
      </c>
      <c r="K49" s="223">
        <v>9.9</v>
      </c>
      <c r="L49" s="221">
        <v>0.56999999999999995</v>
      </c>
    </row>
    <row r="50" spans="2:12" ht="20.25" customHeight="1" thickBot="1" x14ac:dyDescent="0.3">
      <c r="B50" s="8" t="s">
        <v>14</v>
      </c>
      <c r="C50" s="37" t="s">
        <v>46</v>
      </c>
      <c r="D50" s="194">
        <v>40</v>
      </c>
      <c r="E50" s="38">
        <v>3.04</v>
      </c>
      <c r="F50" s="38">
        <v>0.32</v>
      </c>
      <c r="G50" s="38">
        <v>19.68</v>
      </c>
      <c r="H50" s="219">
        <v>94</v>
      </c>
      <c r="I50" s="221">
        <v>0</v>
      </c>
      <c r="J50" s="230">
        <v>9.1999999999999993</v>
      </c>
      <c r="K50" s="224">
        <v>13.2</v>
      </c>
      <c r="L50" s="221">
        <v>0.76</v>
      </c>
    </row>
    <row r="51" spans="2:12" ht="21.75" customHeight="1" thickBot="1" x14ac:dyDescent="0.3">
      <c r="B51" s="8" t="s">
        <v>66</v>
      </c>
      <c r="C51" s="42" t="s">
        <v>67</v>
      </c>
      <c r="D51" s="222">
        <v>180</v>
      </c>
      <c r="E51" s="220">
        <v>0.9</v>
      </c>
      <c r="F51" s="220">
        <v>0.18</v>
      </c>
      <c r="G51" s="220">
        <v>18.18</v>
      </c>
      <c r="H51" s="220">
        <v>82.8</v>
      </c>
      <c r="I51" s="220">
        <v>3.6</v>
      </c>
      <c r="J51" s="220">
        <v>12.6</v>
      </c>
      <c r="K51" s="223">
        <v>7.2</v>
      </c>
      <c r="L51" s="221">
        <v>2.52</v>
      </c>
    </row>
    <row r="52" spans="2:12" ht="21" customHeight="1" thickBot="1" x14ac:dyDescent="0.3">
      <c r="B52" s="22"/>
      <c r="C52" s="50" t="s">
        <v>30</v>
      </c>
      <c r="D52" s="225">
        <f t="shared" ref="D52:L52" si="6">SUM(D47:D51)</f>
        <v>510</v>
      </c>
      <c r="E52" s="62">
        <f t="shared" si="6"/>
        <v>20.99</v>
      </c>
      <c r="F52" s="62">
        <f t="shared" si="6"/>
        <v>14.190000000000001</v>
      </c>
      <c r="G52" s="62">
        <f t="shared" si="6"/>
        <v>74.02000000000001</v>
      </c>
      <c r="H52" s="62">
        <f t="shared" si="6"/>
        <v>501.90000000000003</v>
      </c>
      <c r="I52" s="62">
        <f t="shared" si="6"/>
        <v>22.54</v>
      </c>
      <c r="J52" s="62">
        <f t="shared" si="6"/>
        <v>84.549999999999983</v>
      </c>
      <c r="K52" s="62">
        <f t="shared" si="6"/>
        <v>82.92</v>
      </c>
      <c r="L52" s="62">
        <f t="shared" si="6"/>
        <v>6.58</v>
      </c>
    </row>
    <row r="53" spans="2:12" ht="18.75" customHeight="1" thickBot="1" x14ac:dyDescent="0.3">
      <c r="B53" s="13" t="s">
        <v>1</v>
      </c>
      <c r="C53" s="39"/>
      <c r="D53" s="227"/>
      <c r="E53" s="39"/>
      <c r="F53" s="39"/>
      <c r="G53" s="39"/>
      <c r="H53" s="39"/>
      <c r="I53" s="39"/>
      <c r="J53" s="39"/>
      <c r="K53" s="39"/>
      <c r="L53" s="63"/>
    </row>
    <row r="54" spans="2:12" ht="22.5" customHeight="1" thickBot="1" x14ac:dyDescent="0.3">
      <c r="B54" s="8" t="s">
        <v>97</v>
      </c>
      <c r="C54" s="40" t="s">
        <v>132</v>
      </c>
      <c r="D54" s="222">
        <v>60</v>
      </c>
      <c r="E54" s="220">
        <v>0.66</v>
      </c>
      <c r="F54" s="220">
        <v>0.12</v>
      </c>
      <c r="G54" s="220">
        <v>2.2799999999999998</v>
      </c>
      <c r="H54" s="220">
        <v>13.2</v>
      </c>
      <c r="I54" s="221">
        <v>10.5</v>
      </c>
      <c r="J54" s="242">
        <v>8.4</v>
      </c>
      <c r="K54" s="224">
        <v>12</v>
      </c>
      <c r="L54" s="221">
        <v>0.51</v>
      </c>
    </row>
    <row r="55" spans="2:12" ht="22.5" customHeight="1" thickBot="1" x14ac:dyDescent="0.3">
      <c r="B55" s="14" t="s">
        <v>78</v>
      </c>
      <c r="C55" s="9" t="s">
        <v>56</v>
      </c>
      <c r="D55" s="218">
        <v>200</v>
      </c>
      <c r="E55" s="219">
        <v>1.44</v>
      </c>
      <c r="F55" s="219">
        <v>3.94</v>
      </c>
      <c r="G55" s="219">
        <v>8.75</v>
      </c>
      <c r="H55" s="219">
        <v>83</v>
      </c>
      <c r="I55" s="38">
        <v>15.99</v>
      </c>
      <c r="J55" s="45">
        <v>50.28</v>
      </c>
      <c r="K55" s="224">
        <v>19.72</v>
      </c>
      <c r="L55" s="221">
        <v>0.89</v>
      </c>
    </row>
    <row r="56" spans="2:12" ht="22.5" customHeight="1" thickBot="1" x14ac:dyDescent="0.3">
      <c r="B56" s="15" t="s">
        <v>65</v>
      </c>
      <c r="C56" s="37" t="s">
        <v>52</v>
      </c>
      <c r="D56" s="194">
        <v>200</v>
      </c>
      <c r="E56" s="38">
        <v>20.350000000000001</v>
      </c>
      <c r="F56" s="38">
        <v>6.82</v>
      </c>
      <c r="G56" s="38">
        <v>37.549999999999997</v>
      </c>
      <c r="H56" s="221">
        <v>293.17</v>
      </c>
      <c r="I56" s="221">
        <v>4.17</v>
      </c>
      <c r="J56" s="230">
        <v>22.2</v>
      </c>
      <c r="K56" s="224">
        <v>92.29</v>
      </c>
      <c r="L56" s="221">
        <v>1.78</v>
      </c>
    </row>
    <row r="57" spans="2:12" ht="21.75" customHeight="1" thickBot="1" x14ac:dyDescent="0.3">
      <c r="B57" s="14" t="s">
        <v>13</v>
      </c>
      <c r="C57" s="9" t="s">
        <v>49</v>
      </c>
      <c r="D57" s="218">
        <v>180</v>
      </c>
      <c r="E57" s="219">
        <v>0</v>
      </c>
      <c r="F57" s="219">
        <v>0</v>
      </c>
      <c r="G57" s="219">
        <v>6.29</v>
      </c>
      <c r="H57" s="219">
        <v>25.14</v>
      </c>
      <c r="I57" s="224">
        <v>0.05</v>
      </c>
      <c r="J57" s="232">
        <v>2.42</v>
      </c>
      <c r="K57" s="224">
        <v>1.98</v>
      </c>
      <c r="L57" s="224">
        <v>0.39</v>
      </c>
    </row>
    <row r="58" spans="2:12" ht="22.5" customHeight="1" thickBot="1" x14ac:dyDescent="0.3">
      <c r="B58" s="8" t="s">
        <v>14</v>
      </c>
      <c r="C58" s="37" t="s">
        <v>46</v>
      </c>
      <c r="D58" s="194">
        <v>40</v>
      </c>
      <c r="E58" s="38">
        <v>3.04</v>
      </c>
      <c r="F58" s="38">
        <v>0.32</v>
      </c>
      <c r="G58" s="38">
        <v>19.68</v>
      </c>
      <c r="H58" s="219">
        <v>94</v>
      </c>
      <c r="I58" s="221">
        <v>0</v>
      </c>
      <c r="J58" s="230">
        <v>9.1999999999999993</v>
      </c>
      <c r="K58" s="224">
        <v>13.2</v>
      </c>
      <c r="L58" s="221">
        <v>0.76</v>
      </c>
    </row>
    <row r="59" spans="2:12" ht="23.25" customHeight="1" thickBot="1" x14ac:dyDescent="0.3">
      <c r="B59" s="8" t="s">
        <v>16</v>
      </c>
      <c r="C59" s="37" t="s">
        <v>47</v>
      </c>
      <c r="D59" s="194">
        <v>30</v>
      </c>
      <c r="E59" s="38">
        <v>1.98</v>
      </c>
      <c r="F59" s="38">
        <v>0.36</v>
      </c>
      <c r="G59" s="38">
        <v>10.02</v>
      </c>
      <c r="H59" s="219">
        <v>52.2</v>
      </c>
      <c r="I59" s="221">
        <v>0</v>
      </c>
      <c r="J59" s="230">
        <v>9.9</v>
      </c>
      <c r="K59" s="224">
        <v>17.100000000000001</v>
      </c>
      <c r="L59" s="221">
        <v>1.35</v>
      </c>
    </row>
    <row r="60" spans="2:12" ht="23.25" customHeight="1" thickBot="1" x14ac:dyDescent="0.3">
      <c r="B60" s="14"/>
      <c r="C60" s="51" t="s">
        <v>2</v>
      </c>
      <c r="D60" s="245">
        <f t="shared" ref="D60:L60" si="7">SUM(D54:D59)</f>
        <v>710</v>
      </c>
      <c r="E60" s="65">
        <f t="shared" si="7"/>
        <v>27.470000000000002</v>
      </c>
      <c r="F60" s="65">
        <f t="shared" si="7"/>
        <v>11.559999999999999</v>
      </c>
      <c r="G60" s="65">
        <f t="shared" si="7"/>
        <v>84.57</v>
      </c>
      <c r="H60" s="65">
        <f t="shared" si="7"/>
        <v>560.71</v>
      </c>
      <c r="I60" s="62">
        <f t="shared" si="7"/>
        <v>30.710000000000004</v>
      </c>
      <c r="J60" s="237">
        <f t="shared" si="7"/>
        <v>102.4</v>
      </c>
      <c r="K60" s="62">
        <f t="shared" si="7"/>
        <v>156.29</v>
      </c>
      <c r="L60" s="62">
        <f t="shared" si="7"/>
        <v>5.68</v>
      </c>
    </row>
    <row r="61" spans="2:12" ht="22.5" customHeight="1" thickBot="1" x14ac:dyDescent="0.3">
      <c r="B61" s="8"/>
      <c r="C61" s="46" t="s">
        <v>3</v>
      </c>
      <c r="D61" s="64">
        <f t="shared" ref="D61:L61" si="8">D60+D52</f>
        <v>1220</v>
      </c>
      <c r="E61" s="65">
        <f t="shared" si="8"/>
        <v>48.46</v>
      </c>
      <c r="F61" s="65">
        <f t="shared" si="8"/>
        <v>25.75</v>
      </c>
      <c r="G61" s="65">
        <f t="shared" si="8"/>
        <v>158.59</v>
      </c>
      <c r="H61" s="65">
        <f t="shared" si="8"/>
        <v>1062.6100000000001</v>
      </c>
      <c r="I61" s="65">
        <f t="shared" si="8"/>
        <v>53.25</v>
      </c>
      <c r="J61" s="65">
        <f t="shared" si="8"/>
        <v>186.95</v>
      </c>
      <c r="K61" s="65">
        <f t="shared" si="8"/>
        <v>239.20999999999998</v>
      </c>
      <c r="L61" s="62">
        <f t="shared" si="8"/>
        <v>12.26</v>
      </c>
    </row>
    <row r="62" spans="2:12" ht="26.25" customHeight="1" thickBot="1" x14ac:dyDescent="0.3">
      <c r="B62" s="18" t="s">
        <v>8</v>
      </c>
      <c r="C62" s="48"/>
      <c r="D62" s="48"/>
      <c r="E62" s="48"/>
      <c r="F62" s="48"/>
      <c r="G62" s="48"/>
      <c r="H62" s="48"/>
      <c r="I62" s="48"/>
      <c r="J62" s="48"/>
      <c r="K62" s="48"/>
      <c r="L62" s="66"/>
    </row>
    <row r="63" spans="2:12" ht="16.5" customHeight="1" thickBot="1" x14ac:dyDescent="0.3">
      <c r="B63" s="195" t="s">
        <v>4</v>
      </c>
      <c r="C63" s="197" t="s">
        <v>0</v>
      </c>
      <c r="D63" s="197" t="s">
        <v>35</v>
      </c>
      <c r="E63" s="202" t="s">
        <v>12</v>
      </c>
      <c r="F63" s="203"/>
      <c r="G63" s="203"/>
      <c r="H63" s="204"/>
      <c r="I63" s="205" t="s">
        <v>40</v>
      </c>
      <c r="J63" s="199" t="s">
        <v>41</v>
      </c>
      <c r="K63" s="199" t="s">
        <v>42</v>
      </c>
      <c r="L63" s="199" t="s">
        <v>44</v>
      </c>
    </row>
    <row r="64" spans="2:12" ht="32.25" thickBot="1" x14ac:dyDescent="0.3">
      <c r="B64" s="196"/>
      <c r="C64" s="198"/>
      <c r="D64" s="198"/>
      <c r="E64" s="61" t="s">
        <v>36</v>
      </c>
      <c r="F64" s="61" t="s">
        <v>37</v>
      </c>
      <c r="G64" s="61" t="s">
        <v>38</v>
      </c>
      <c r="H64" s="61" t="s">
        <v>39</v>
      </c>
      <c r="I64" s="206"/>
      <c r="J64" s="200"/>
      <c r="K64" s="200"/>
      <c r="L64" s="200"/>
    </row>
    <row r="65" spans="2:12" ht="22.5" customHeight="1" thickBot="1" x14ac:dyDescent="0.3">
      <c r="B65" s="13" t="s">
        <v>29</v>
      </c>
      <c r="C65" s="39"/>
      <c r="D65" s="39"/>
      <c r="E65" s="39"/>
      <c r="F65" s="39"/>
      <c r="G65" s="39"/>
      <c r="H65" s="39"/>
      <c r="I65" s="39"/>
      <c r="J65" s="39"/>
      <c r="K65" s="43"/>
      <c r="L65" s="67"/>
    </row>
    <row r="66" spans="2:12" ht="24" customHeight="1" thickBot="1" x14ac:dyDescent="0.3">
      <c r="B66" s="10" t="s">
        <v>100</v>
      </c>
      <c r="C66" s="11" t="s">
        <v>101</v>
      </c>
      <c r="D66" s="228">
        <v>160</v>
      </c>
      <c r="E66" s="219">
        <v>17.7</v>
      </c>
      <c r="F66" s="219">
        <v>16.78</v>
      </c>
      <c r="G66" s="219">
        <v>55.61</v>
      </c>
      <c r="H66" s="219">
        <v>444.43</v>
      </c>
      <c r="I66" s="219">
        <v>1.36</v>
      </c>
      <c r="J66" s="221">
        <v>291.57</v>
      </c>
      <c r="K66" s="246">
        <v>45.82</v>
      </c>
      <c r="L66" s="221">
        <v>1.1399999999999999</v>
      </c>
    </row>
    <row r="67" spans="2:12" ht="23.25" customHeight="1" thickBot="1" x14ac:dyDescent="0.3">
      <c r="B67" s="8" t="s">
        <v>13</v>
      </c>
      <c r="C67" s="9" t="s">
        <v>49</v>
      </c>
      <c r="D67" s="218">
        <v>200</v>
      </c>
      <c r="E67" s="220">
        <v>0</v>
      </c>
      <c r="F67" s="220">
        <v>0</v>
      </c>
      <c r="G67" s="220">
        <v>6.9860000000000007</v>
      </c>
      <c r="H67" s="220">
        <v>27.93</v>
      </c>
      <c r="I67" s="220">
        <v>0.05</v>
      </c>
      <c r="J67" s="220">
        <v>2.69</v>
      </c>
      <c r="K67" s="223">
        <v>2.2000000000000002</v>
      </c>
      <c r="L67" s="221">
        <v>0.43</v>
      </c>
    </row>
    <row r="68" spans="2:12" ht="22.5" customHeight="1" thickBot="1" x14ac:dyDescent="0.3">
      <c r="B68" s="8" t="s">
        <v>14</v>
      </c>
      <c r="C68" s="40" t="s">
        <v>46</v>
      </c>
      <c r="D68" s="218">
        <v>40</v>
      </c>
      <c r="E68" s="219">
        <v>3.04</v>
      </c>
      <c r="F68" s="219">
        <v>0.32</v>
      </c>
      <c r="G68" s="219">
        <v>19.68</v>
      </c>
      <c r="H68" s="219">
        <v>94</v>
      </c>
      <c r="I68" s="38">
        <v>0</v>
      </c>
      <c r="J68" s="45">
        <v>9.1999999999999993</v>
      </c>
      <c r="K68" s="234">
        <v>13.2</v>
      </c>
      <c r="L68" s="38">
        <v>0.76</v>
      </c>
    </row>
    <row r="69" spans="2:12" ht="24" customHeight="1" thickBot="1" x14ac:dyDescent="0.3">
      <c r="B69" s="8" t="s">
        <v>17</v>
      </c>
      <c r="C69" s="9" t="s">
        <v>94</v>
      </c>
      <c r="D69" s="218">
        <v>100</v>
      </c>
      <c r="E69" s="220">
        <v>0.4</v>
      </c>
      <c r="F69" s="220">
        <v>0.4</v>
      </c>
      <c r="G69" s="220">
        <v>9.8000000000000007</v>
      </c>
      <c r="H69" s="220">
        <v>47</v>
      </c>
      <c r="I69" s="220">
        <v>10</v>
      </c>
      <c r="J69" s="220">
        <v>16</v>
      </c>
      <c r="K69" s="221">
        <v>9</v>
      </c>
      <c r="L69" s="221">
        <v>2.2000000000000002</v>
      </c>
    </row>
    <row r="70" spans="2:12" ht="22.5" customHeight="1" thickBot="1" x14ac:dyDescent="0.3">
      <c r="B70" s="13"/>
      <c r="C70" s="50" t="s">
        <v>30</v>
      </c>
      <c r="D70" s="225">
        <f t="shared" ref="D70:L70" si="9">SUM(D66:D69)</f>
        <v>500</v>
      </c>
      <c r="E70" s="247">
        <f t="shared" si="9"/>
        <v>21.139999999999997</v>
      </c>
      <c r="F70" s="236">
        <f t="shared" si="9"/>
        <v>17.5</v>
      </c>
      <c r="G70" s="247">
        <f t="shared" si="9"/>
        <v>92.076000000000008</v>
      </c>
      <c r="H70" s="236">
        <f t="shared" si="9"/>
        <v>613.36</v>
      </c>
      <c r="I70" s="247">
        <f t="shared" si="9"/>
        <v>11.41</v>
      </c>
      <c r="J70" s="236">
        <f t="shared" si="9"/>
        <v>319.45999999999998</v>
      </c>
      <c r="K70" s="247">
        <f t="shared" si="9"/>
        <v>70.22</v>
      </c>
      <c r="L70" s="236">
        <f t="shared" si="9"/>
        <v>4.53</v>
      </c>
    </row>
    <row r="71" spans="2:12" ht="22.5" customHeight="1" thickBot="1" x14ac:dyDescent="0.3">
      <c r="B71" s="23" t="s">
        <v>1</v>
      </c>
      <c r="C71" s="39"/>
      <c r="D71" s="248"/>
      <c r="E71" s="249"/>
      <c r="F71" s="249"/>
      <c r="G71" s="249"/>
      <c r="H71" s="249"/>
      <c r="I71" s="249"/>
      <c r="J71" s="249"/>
      <c r="K71" s="250"/>
      <c r="L71" s="251"/>
    </row>
    <row r="72" spans="2:12" ht="21" customHeight="1" thickBot="1" x14ac:dyDescent="0.3">
      <c r="B72" s="24" t="s">
        <v>92</v>
      </c>
      <c r="C72" s="41" t="s">
        <v>43</v>
      </c>
      <c r="D72" s="252">
        <v>60</v>
      </c>
      <c r="E72" s="38">
        <v>0.96</v>
      </c>
      <c r="F72" s="38">
        <v>3.78</v>
      </c>
      <c r="G72" s="38">
        <v>4.4400000000000004</v>
      </c>
      <c r="H72" s="38">
        <v>54.48</v>
      </c>
      <c r="I72" s="38">
        <v>10.199999999999999</v>
      </c>
      <c r="J72" s="241">
        <v>12.6</v>
      </c>
      <c r="K72" s="223">
        <v>3.12</v>
      </c>
      <c r="L72" s="221">
        <v>0.06</v>
      </c>
    </row>
    <row r="73" spans="2:12" ht="21" customHeight="1" thickBot="1" x14ac:dyDescent="0.3">
      <c r="B73" s="24" t="s">
        <v>120</v>
      </c>
      <c r="C73" s="9" t="s">
        <v>134</v>
      </c>
      <c r="D73" s="218">
        <v>200</v>
      </c>
      <c r="E73" s="219">
        <v>3.09</v>
      </c>
      <c r="F73" s="219">
        <v>3.15</v>
      </c>
      <c r="G73" s="219">
        <v>11.8</v>
      </c>
      <c r="H73" s="219">
        <v>95.6</v>
      </c>
      <c r="I73" s="38">
        <v>4.5999999999999996</v>
      </c>
      <c r="J73" s="45">
        <v>16.5</v>
      </c>
      <c r="K73" s="223">
        <v>18.8</v>
      </c>
      <c r="L73" s="221">
        <v>0.4</v>
      </c>
    </row>
    <row r="74" spans="2:12" ht="23.25" customHeight="1" thickBot="1" x14ac:dyDescent="0.3">
      <c r="B74" s="15" t="s">
        <v>69</v>
      </c>
      <c r="C74" s="37" t="s">
        <v>122</v>
      </c>
      <c r="D74" s="194">
        <v>200</v>
      </c>
      <c r="E74" s="38">
        <v>5.85</v>
      </c>
      <c r="F74" s="38">
        <v>8.42</v>
      </c>
      <c r="G74" s="38">
        <v>13.84</v>
      </c>
      <c r="H74" s="38">
        <v>156.34</v>
      </c>
      <c r="I74" s="38">
        <v>73.349999999999994</v>
      </c>
      <c r="J74" s="241">
        <v>86.56</v>
      </c>
      <c r="K74" s="223">
        <v>35.4</v>
      </c>
      <c r="L74" s="221">
        <v>1.46</v>
      </c>
    </row>
    <row r="75" spans="2:12" ht="23.25" customHeight="1" thickBot="1" x14ac:dyDescent="0.3">
      <c r="B75" s="14" t="s">
        <v>14</v>
      </c>
      <c r="C75" s="9" t="s">
        <v>46</v>
      </c>
      <c r="D75" s="218">
        <v>40</v>
      </c>
      <c r="E75" s="219">
        <v>3.04</v>
      </c>
      <c r="F75" s="219">
        <v>0.32</v>
      </c>
      <c r="G75" s="219">
        <v>19.68</v>
      </c>
      <c r="H75" s="219">
        <v>94</v>
      </c>
      <c r="I75" s="38">
        <v>0</v>
      </c>
      <c r="J75" s="45">
        <v>9.1999999999999993</v>
      </c>
      <c r="K75" s="234">
        <v>13.2</v>
      </c>
      <c r="L75" s="38">
        <v>0.76</v>
      </c>
    </row>
    <row r="76" spans="2:12" ht="23.25" customHeight="1" thickBot="1" x14ac:dyDescent="0.3">
      <c r="B76" s="8" t="s">
        <v>16</v>
      </c>
      <c r="C76" s="37" t="s">
        <v>47</v>
      </c>
      <c r="D76" s="194">
        <v>30</v>
      </c>
      <c r="E76" s="38">
        <v>1.98</v>
      </c>
      <c r="F76" s="38">
        <v>0.36</v>
      </c>
      <c r="G76" s="38">
        <v>10.02</v>
      </c>
      <c r="H76" s="219">
        <v>52.2</v>
      </c>
      <c r="I76" s="221">
        <v>0</v>
      </c>
      <c r="J76" s="230">
        <v>9.9</v>
      </c>
      <c r="K76" s="224">
        <v>17.100000000000001</v>
      </c>
      <c r="L76" s="221">
        <v>1.35</v>
      </c>
    </row>
    <row r="77" spans="2:12" ht="23.25" customHeight="1" thickBot="1" x14ac:dyDescent="0.3">
      <c r="B77" s="14" t="s">
        <v>27</v>
      </c>
      <c r="C77" s="9" t="s">
        <v>112</v>
      </c>
      <c r="D77" s="218">
        <v>180</v>
      </c>
      <c r="E77" s="219">
        <v>1.04</v>
      </c>
      <c r="F77" s="219">
        <v>0.27</v>
      </c>
      <c r="G77" s="219">
        <v>42.53</v>
      </c>
      <c r="H77" s="219">
        <v>176.74</v>
      </c>
      <c r="I77" s="224">
        <v>0.72</v>
      </c>
      <c r="J77" s="232">
        <v>5.26</v>
      </c>
      <c r="K77" s="224">
        <v>30.03</v>
      </c>
      <c r="L77" s="224">
        <v>0.86</v>
      </c>
    </row>
    <row r="78" spans="2:12" ht="23.25" customHeight="1" thickBot="1" x14ac:dyDescent="0.3">
      <c r="B78" s="15"/>
      <c r="C78" s="49" t="s">
        <v>2</v>
      </c>
      <c r="D78" s="243">
        <f t="shared" ref="D78:L78" si="10">SUM(D72:D77)</f>
        <v>710</v>
      </c>
      <c r="E78" s="244">
        <f t="shared" si="10"/>
        <v>15.959999999999997</v>
      </c>
      <c r="F78" s="244">
        <f t="shared" si="10"/>
        <v>16.3</v>
      </c>
      <c r="G78" s="244">
        <f t="shared" si="10"/>
        <v>102.31</v>
      </c>
      <c r="H78" s="244">
        <f t="shared" si="10"/>
        <v>629.3599999999999</v>
      </c>
      <c r="I78" s="62">
        <f t="shared" si="10"/>
        <v>88.86999999999999</v>
      </c>
      <c r="J78" s="253">
        <f t="shared" si="10"/>
        <v>140.01999999999998</v>
      </c>
      <c r="K78" s="244">
        <f t="shared" si="10"/>
        <v>117.65</v>
      </c>
      <c r="L78" s="253">
        <f t="shared" si="10"/>
        <v>4.8899999999999997</v>
      </c>
    </row>
    <row r="79" spans="2:12" ht="26.25" customHeight="1" thickBot="1" x14ac:dyDescent="0.3">
      <c r="B79" s="8"/>
      <c r="C79" s="46" t="s">
        <v>3</v>
      </c>
      <c r="D79" s="64">
        <f t="shared" ref="D79:L79" si="11">D78+D70</f>
        <v>1210</v>
      </c>
      <c r="E79" s="65">
        <f t="shared" si="11"/>
        <v>37.099999999999994</v>
      </c>
      <c r="F79" s="65">
        <f t="shared" si="11"/>
        <v>33.799999999999997</v>
      </c>
      <c r="G79" s="65">
        <f t="shared" si="11"/>
        <v>194.38600000000002</v>
      </c>
      <c r="H79" s="65">
        <f t="shared" si="11"/>
        <v>1242.7199999999998</v>
      </c>
      <c r="I79" s="65">
        <f t="shared" si="11"/>
        <v>100.27999999999999</v>
      </c>
      <c r="J79" s="65">
        <f t="shared" si="11"/>
        <v>459.47999999999996</v>
      </c>
      <c r="K79" s="65">
        <f t="shared" si="11"/>
        <v>187.87</v>
      </c>
      <c r="L79" s="62">
        <f t="shared" si="11"/>
        <v>9.42</v>
      </c>
    </row>
    <row r="80" spans="2:12" ht="21" customHeight="1" thickBot="1" x14ac:dyDescent="0.3">
      <c r="B80" s="18" t="s">
        <v>9</v>
      </c>
      <c r="C80" s="48"/>
      <c r="D80" s="48"/>
      <c r="E80" s="48"/>
      <c r="F80" s="48"/>
      <c r="G80" s="48"/>
      <c r="H80" s="48"/>
      <c r="I80" s="48"/>
      <c r="J80" s="48"/>
      <c r="K80" s="48"/>
      <c r="L80" s="66"/>
    </row>
    <row r="81" spans="2:12" ht="19.5" customHeight="1" thickBot="1" x14ac:dyDescent="0.3">
      <c r="B81" s="195" t="s">
        <v>4</v>
      </c>
      <c r="C81" s="197" t="s">
        <v>0</v>
      </c>
      <c r="D81" s="197" t="s">
        <v>35</v>
      </c>
      <c r="E81" s="202" t="s">
        <v>12</v>
      </c>
      <c r="F81" s="203"/>
      <c r="G81" s="203"/>
      <c r="H81" s="204"/>
      <c r="I81" s="205" t="s">
        <v>40</v>
      </c>
      <c r="J81" s="199" t="s">
        <v>41</v>
      </c>
      <c r="K81" s="199" t="s">
        <v>42</v>
      </c>
      <c r="L81" s="199" t="s">
        <v>44</v>
      </c>
    </row>
    <row r="82" spans="2:12" ht="32.25" thickBot="1" x14ac:dyDescent="0.3">
      <c r="B82" s="196"/>
      <c r="C82" s="198"/>
      <c r="D82" s="198"/>
      <c r="E82" s="61" t="s">
        <v>36</v>
      </c>
      <c r="F82" s="61" t="s">
        <v>37</v>
      </c>
      <c r="G82" s="61" t="s">
        <v>38</v>
      </c>
      <c r="H82" s="61" t="s">
        <v>39</v>
      </c>
      <c r="I82" s="206"/>
      <c r="J82" s="200"/>
      <c r="K82" s="200"/>
      <c r="L82" s="200"/>
    </row>
    <row r="83" spans="2:12" ht="19.5" customHeight="1" thickBot="1" x14ac:dyDescent="0.3">
      <c r="B83" s="13" t="s">
        <v>29</v>
      </c>
      <c r="C83" s="39"/>
      <c r="D83" s="39"/>
      <c r="E83" s="39"/>
      <c r="F83" s="39"/>
      <c r="G83" s="39"/>
      <c r="H83" s="39"/>
      <c r="I83" s="39"/>
      <c r="J83" s="39"/>
      <c r="K83" s="39"/>
      <c r="L83" s="63"/>
    </row>
    <row r="84" spans="2:12" ht="20.25" customHeight="1" thickBot="1" x14ac:dyDescent="0.3">
      <c r="B84" s="14" t="s">
        <v>50</v>
      </c>
      <c r="C84" s="11" t="s">
        <v>90</v>
      </c>
      <c r="D84" s="228">
        <v>250</v>
      </c>
      <c r="E84" s="219">
        <v>6.7183999999999999</v>
      </c>
      <c r="F84" s="219">
        <v>10.0596</v>
      </c>
      <c r="G84" s="219">
        <v>26.776399999999999</v>
      </c>
      <c r="H84" s="219">
        <v>225.26599999999999</v>
      </c>
      <c r="I84" s="219">
        <v>4.2</v>
      </c>
      <c r="J84" s="219">
        <v>139.03</v>
      </c>
      <c r="K84" s="234">
        <v>53.86</v>
      </c>
      <c r="L84" s="38">
        <v>1.25</v>
      </c>
    </row>
    <row r="85" spans="2:12" ht="18.75" customHeight="1" thickBot="1" x14ac:dyDescent="0.3">
      <c r="B85" s="8" t="s">
        <v>20</v>
      </c>
      <c r="C85" s="40" t="s">
        <v>62</v>
      </c>
      <c r="D85" s="222">
        <v>10</v>
      </c>
      <c r="E85" s="220">
        <v>0.08</v>
      </c>
      <c r="F85" s="220">
        <v>7.25</v>
      </c>
      <c r="G85" s="220">
        <v>0.13</v>
      </c>
      <c r="H85" s="220">
        <v>66.099999999999994</v>
      </c>
      <c r="I85" s="220">
        <v>0</v>
      </c>
      <c r="J85" s="220">
        <v>2.4</v>
      </c>
      <c r="K85" s="223">
        <v>0.05</v>
      </c>
      <c r="L85" s="221">
        <v>0.02</v>
      </c>
    </row>
    <row r="86" spans="2:12" ht="19.5" customHeight="1" thickBot="1" x14ac:dyDescent="0.3">
      <c r="B86" s="8" t="s">
        <v>14</v>
      </c>
      <c r="C86" s="9" t="s">
        <v>46</v>
      </c>
      <c r="D86" s="222">
        <v>30</v>
      </c>
      <c r="E86" s="219">
        <v>2.2799999999999998</v>
      </c>
      <c r="F86" s="219">
        <v>0.24</v>
      </c>
      <c r="G86" s="219">
        <v>14.76</v>
      </c>
      <c r="H86" s="219">
        <v>70.5</v>
      </c>
      <c r="I86" s="219">
        <v>0</v>
      </c>
      <c r="J86" s="219">
        <v>6.9</v>
      </c>
      <c r="K86" s="224">
        <v>9.9</v>
      </c>
      <c r="L86" s="221">
        <v>0.56999999999999995</v>
      </c>
    </row>
    <row r="87" spans="2:12" ht="20.25" customHeight="1" thickBot="1" x14ac:dyDescent="0.3">
      <c r="B87" s="8" t="s">
        <v>16</v>
      </c>
      <c r="C87" s="37" t="s">
        <v>47</v>
      </c>
      <c r="D87" s="194">
        <v>30</v>
      </c>
      <c r="E87" s="219">
        <v>1.98</v>
      </c>
      <c r="F87" s="219">
        <v>0.36</v>
      </c>
      <c r="G87" s="219">
        <v>10.02</v>
      </c>
      <c r="H87" s="219">
        <v>52.2</v>
      </c>
      <c r="I87" s="219">
        <v>0</v>
      </c>
      <c r="J87" s="219">
        <v>9.9</v>
      </c>
      <c r="K87" s="254">
        <v>17.100000000000001</v>
      </c>
      <c r="L87" s="255">
        <v>1.35</v>
      </c>
    </row>
    <row r="88" spans="2:12" ht="19.5" customHeight="1" thickBot="1" x14ac:dyDescent="0.3">
      <c r="B88" s="8" t="s">
        <v>61</v>
      </c>
      <c r="C88" s="42" t="s">
        <v>51</v>
      </c>
      <c r="D88" s="222">
        <v>180</v>
      </c>
      <c r="E88" s="220">
        <v>3.22</v>
      </c>
      <c r="F88" s="220">
        <v>2.3199999999999998</v>
      </c>
      <c r="G88" s="220">
        <v>13.24</v>
      </c>
      <c r="H88" s="220">
        <v>90.05</v>
      </c>
      <c r="I88" s="220">
        <v>1.05</v>
      </c>
      <c r="J88" s="220">
        <v>111.08</v>
      </c>
      <c r="K88" s="224">
        <v>26.64</v>
      </c>
      <c r="L88" s="221">
        <v>0.9</v>
      </c>
    </row>
    <row r="89" spans="2:12" ht="19.5" customHeight="1" thickBot="1" x14ac:dyDescent="0.3">
      <c r="B89" s="25"/>
      <c r="C89" s="50" t="s">
        <v>30</v>
      </c>
      <c r="D89" s="225">
        <f t="shared" ref="D89:L89" si="12">SUM(D84:D88)</f>
        <v>500</v>
      </c>
      <c r="E89" s="62">
        <f t="shared" si="12"/>
        <v>14.278400000000001</v>
      </c>
      <c r="F89" s="62">
        <f t="shared" si="12"/>
        <v>20.229599999999998</v>
      </c>
      <c r="G89" s="62">
        <f t="shared" si="12"/>
        <v>64.926399999999987</v>
      </c>
      <c r="H89" s="62">
        <f t="shared" si="12"/>
        <v>504.11599999999999</v>
      </c>
      <c r="I89" s="62">
        <f t="shared" si="12"/>
        <v>5.25</v>
      </c>
      <c r="J89" s="62">
        <f t="shared" si="12"/>
        <v>269.31</v>
      </c>
      <c r="K89" s="62">
        <f t="shared" si="12"/>
        <v>107.55</v>
      </c>
      <c r="L89" s="62">
        <f t="shared" si="12"/>
        <v>4.09</v>
      </c>
    </row>
    <row r="90" spans="2:12" ht="18.75" customHeight="1" thickBot="1" x14ac:dyDescent="0.3">
      <c r="B90" s="13" t="s">
        <v>1</v>
      </c>
      <c r="C90" s="39"/>
      <c r="D90" s="227"/>
      <c r="E90" s="39"/>
      <c r="F90" s="39"/>
      <c r="G90" s="39"/>
      <c r="H90" s="39"/>
      <c r="I90" s="39"/>
      <c r="J90" s="39"/>
      <c r="K90" s="39"/>
      <c r="L90" s="63"/>
    </row>
    <row r="91" spans="2:12" ht="21.75" customHeight="1" thickBot="1" x14ac:dyDescent="0.3">
      <c r="B91" s="24" t="s">
        <v>77</v>
      </c>
      <c r="C91" s="41" t="s">
        <v>76</v>
      </c>
      <c r="D91" s="252">
        <v>60</v>
      </c>
      <c r="E91" s="38">
        <v>0.84</v>
      </c>
      <c r="F91" s="38">
        <v>6</v>
      </c>
      <c r="G91" s="38">
        <v>0.43</v>
      </c>
      <c r="H91" s="38">
        <v>75.06</v>
      </c>
      <c r="I91" s="38">
        <v>5.77</v>
      </c>
      <c r="J91" s="241">
        <v>18.72</v>
      </c>
      <c r="K91" s="223">
        <v>11.71</v>
      </c>
      <c r="L91" s="221">
        <v>0.49</v>
      </c>
    </row>
    <row r="92" spans="2:12" ht="19.5" customHeight="1" thickBot="1" x14ac:dyDescent="0.3">
      <c r="B92" s="14" t="s">
        <v>85</v>
      </c>
      <c r="C92" s="9" t="s">
        <v>82</v>
      </c>
      <c r="D92" s="218">
        <v>200</v>
      </c>
      <c r="E92" s="219">
        <v>2.19</v>
      </c>
      <c r="F92" s="219">
        <v>5.18</v>
      </c>
      <c r="G92" s="219">
        <v>10.93</v>
      </c>
      <c r="H92" s="219">
        <v>101.1</v>
      </c>
      <c r="I92" s="234">
        <v>18.920000000000002</v>
      </c>
      <c r="J92" s="231">
        <v>32.83</v>
      </c>
      <c r="K92" s="234">
        <v>24.15</v>
      </c>
      <c r="L92" s="234">
        <v>0.77</v>
      </c>
    </row>
    <row r="93" spans="2:12" ht="18" customHeight="1" thickBot="1" x14ac:dyDescent="0.3">
      <c r="B93" s="14" t="s">
        <v>86</v>
      </c>
      <c r="C93" s="9" t="s">
        <v>83</v>
      </c>
      <c r="D93" s="218">
        <v>200</v>
      </c>
      <c r="E93" s="219">
        <v>17.07</v>
      </c>
      <c r="F93" s="219">
        <v>19.82</v>
      </c>
      <c r="G93" s="219">
        <v>31.43</v>
      </c>
      <c r="H93" s="219">
        <v>372.22</v>
      </c>
      <c r="I93" s="38">
        <v>17.13</v>
      </c>
      <c r="J93" s="45">
        <v>141.36000000000001</v>
      </c>
      <c r="K93" s="223">
        <v>51.09</v>
      </c>
      <c r="L93" s="221">
        <v>1.48</v>
      </c>
    </row>
    <row r="94" spans="2:12" ht="19.5" customHeight="1" thickBot="1" x14ac:dyDescent="0.3">
      <c r="B94" s="14" t="s">
        <v>14</v>
      </c>
      <c r="C94" s="9" t="s">
        <v>46</v>
      </c>
      <c r="D94" s="218">
        <v>40</v>
      </c>
      <c r="E94" s="219">
        <v>3.04</v>
      </c>
      <c r="F94" s="219">
        <v>0.32</v>
      </c>
      <c r="G94" s="219">
        <v>19.68</v>
      </c>
      <c r="H94" s="219">
        <v>94</v>
      </c>
      <c r="I94" s="38">
        <v>0</v>
      </c>
      <c r="J94" s="45">
        <v>9.1999999999999993</v>
      </c>
      <c r="K94" s="224">
        <v>13.2</v>
      </c>
      <c r="L94" s="221">
        <v>0.76</v>
      </c>
    </row>
    <row r="95" spans="2:12" ht="18.75" customHeight="1" thickBot="1" x14ac:dyDescent="0.3">
      <c r="B95" s="8" t="s">
        <v>16</v>
      </c>
      <c r="C95" s="42" t="s">
        <v>47</v>
      </c>
      <c r="D95" s="222">
        <v>30</v>
      </c>
      <c r="E95" s="220">
        <v>1.98</v>
      </c>
      <c r="F95" s="220">
        <v>0.36</v>
      </c>
      <c r="G95" s="220">
        <v>10.02</v>
      </c>
      <c r="H95" s="220">
        <v>52.2</v>
      </c>
      <c r="I95" s="221">
        <v>0</v>
      </c>
      <c r="J95" s="230">
        <v>9.9</v>
      </c>
      <c r="K95" s="224">
        <v>17.100000000000001</v>
      </c>
      <c r="L95" s="221">
        <v>1.35</v>
      </c>
    </row>
    <row r="96" spans="2:12" ht="19.5" customHeight="1" thickBot="1" x14ac:dyDescent="0.3">
      <c r="B96" s="8" t="s">
        <v>13</v>
      </c>
      <c r="C96" s="37" t="s">
        <v>49</v>
      </c>
      <c r="D96" s="194">
        <v>180</v>
      </c>
      <c r="E96" s="38">
        <v>0</v>
      </c>
      <c r="F96" s="38">
        <v>0</v>
      </c>
      <c r="G96" s="38">
        <v>6.29</v>
      </c>
      <c r="H96" s="219">
        <v>25.14</v>
      </c>
      <c r="I96" s="221">
        <v>0.05</v>
      </c>
      <c r="J96" s="230">
        <v>2.42</v>
      </c>
      <c r="K96" s="224">
        <v>1.98</v>
      </c>
      <c r="L96" s="221">
        <v>0.39</v>
      </c>
    </row>
    <row r="97" spans="2:12" ht="20.25" customHeight="1" thickBot="1" x14ac:dyDescent="0.3">
      <c r="B97" s="14"/>
      <c r="C97" s="51" t="s">
        <v>2</v>
      </c>
      <c r="D97" s="245">
        <f t="shared" ref="D97:L97" si="13">SUM(D91:D96)</f>
        <v>710</v>
      </c>
      <c r="E97" s="256">
        <f t="shared" si="13"/>
        <v>25.12</v>
      </c>
      <c r="F97" s="256">
        <f t="shared" si="13"/>
        <v>31.68</v>
      </c>
      <c r="G97" s="256">
        <f t="shared" si="13"/>
        <v>78.78</v>
      </c>
      <c r="H97" s="256">
        <f t="shared" si="13"/>
        <v>719.72</v>
      </c>
      <c r="I97" s="256">
        <f t="shared" si="13"/>
        <v>41.87</v>
      </c>
      <c r="J97" s="256">
        <f t="shared" si="13"/>
        <v>214.43</v>
      </c>
      <c r="K97" s="256">
        <f t="shared" si="13"/>
        <v>119.23</v>
      </c>
      <c r="L97" s="244">
        <f t="shared" si="13"/>
        <v>5.2399999999999993</v>
      </c>
    </row>
    <row r="98" spans="2:12" ht="22.5" customHeight="1" thickBot="1" x14ac:dyDescent="0.3">
      <c r="B98" s="14"/>
      <c r="C98" s="51" t="s">
        <v>3</v>
      </c>
      <c r="D98" s="245">
        <f t="shared" ref="D98:L98" si="14">D97+D89</f>
        <v>1210</v>
      </c>
      <c r="E98" s="256">
        <f t="shared" si="14"/>
        <v>39.398400000000002</v>
      </c>
      <c r="F98" s="256">
        <f t="shared" si="14"/>
        <v>51.909599999999998</v>
      </c>
      <c r="G98" s="256">
        <f t="shared" si="14"/>
        <v>143.70639999999997</v>
      </c>
      <c r="H98" s="256">
        <f t="shared" si="14"/>
        <v>1223.836</v>
      </c>
      <c r="I98" s="256">
        <f t="shared" si="14"/>
        <v>47.12</v>
      </c>
      <c r="J98" s="256">
        <f t="shared" si="14"/>
        <v>483.74</v>
      </c>
      <c r="K98" s="256">
        <f t="shared" si="14"/>
        <v>226.78</v>
      </c>
      <c r="L98" s="62">
        <f t="shared" si="14"/>
        <v>9.3299999999999983</v>
      </c>
    </row>
    <row r="99" spans="2:12" ht="30.75" customHeight="1" thickBot="1" x14ac:dyDescent="0.3">
      <c r="B99" s="18" t="s">
        <v>22</v>
      </c>
      <c r="C99" s="48"/>
      <c r="D99" s="48"/>
      <c r="E99" s="48"/>
      <c r="F99" s="48"/>
      <c r="G99" s="48"/>
      <c r="H99" s="48"/>
      <c r="I99" s="48"/>
      <c r="J99" s="48"/>
      <c r="K99" s="48"/>
      <c r="L99" s="66"/>
    </row>
    <row r="100" spans="2:12" ht="16.5" customHeight="1" thickBot="1" x14ac:dyDescent="0.3">
      <c r="B100" s="195" t="s">
        <v>4</v>
      </c>
      <c r="C100" s="197" t="s">
        <v>0</v>
      </c>
      <c r="D100" s="197" t="s">
        <v>35</v>
      </c>
      <c r="E100" s="202" t="s">
        <v>12</v>
      </c>
      <c r="F100" s="203"/>
      <c r="G100" s="203"/>
      <c r="H100" s="204"/>
      <c r="I100" s="205" t="s">
        <v>40</v>
      </c>
      <c r="J100" s="199" t="s">
        <v>41</v>
      </c>
      <c r="K100" s="199" t="s">
        <v>42</v>
      </c>
      <c r="L100" s="199" t="s">
        <v>44</v>
      </c>
    </row>
    <row r="101" spans="2:12" ht="32.25" thickBot="1" x14ac:dyDescent="0.3">
      <c r="B101" s="196"/>
      <c r="C101" s="198"/>
      <c r="D101" s="198"/>
      <c r="E101" s="61" t="s">
        <v>36</v>
      </c>
      <c r="F101" s="61" t="s">
        <v>37</v>
      </c>
      <c r="G101" s="61" t="s">
        <v>38</v>
      </c>
      <c r="H101" s="61" t="s">
        <v>39</v>
      </c>
      <c r="I101" s="206"/>
      <c r="J101" s="200"/>
      <c r="K101" s="200"/>
      <c r="L101" s="200"/>
    </row>
    <row r="102" spans="2:12" ht="19.5" customHeight="1" thickBot="1" x14ac:dyDescent="0.3">
      <c r="B102" s="13" t="s">
        <v>29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63"/>
    </row>
    <row r="103" spans="2:12" ht="18" customHeight="1" thickBot="1" x14ac:dyDescent="0.3">
      <c r="B103" s="8" t="s">
        <v>64</v>
      </c>
      <c r="C103" s="11" t="s">
        <v>63</v>
      </c>
      <c r="D103" s="222">
        <v>150</v>
      </c>
      <c r="E103" s="220">
        <v>10.210000000000001</v>
      </c>
      <c r="F103" s="220">
        <v>11.9</v>
      </c>
      <c r="G103" s="220">
        <v>1.92</v>
      </c>
      <c r="H103" s="220">
        <v>161.88</v>
      </c>
      <c r="I103" s="220">
        <v>0.43</v>
      </c>
      <c r="J103" s="220">
        <v>86.51</v>
      </c>
      <c r="K103" s="223">
        <v>14.59</v>
      </c>
      <c r="L103" s="221">
        <v>2.1</v>
      </c>
    </row>
    <row r="104" spans="2:12" ht="18" customHeight="1" thickBot="1" x14ac:dyDescent="0.3">
      <c r="B104" s="8" t="s">
        <v>103</v>
      </c>
      <c r="C104" s="40" t="s">
        <v>102</v>
      </c>
      <c r="D104" s="222">
        <v>40</v>
      </c>
      <c r="E104" s="220">
        <v>1.24</v>
      </c>
      <c r="F104" s="220">
        <v>0.08</v>
      </c>
      <c r="G104" s="220">
        <v>2.6</v>
      </c>
      <c r="H104" s="220">
        <v>16</v>
      </c>
      <c r="I104" s="220">
        <v>3.12</v>
      </c>
      <c r="J104" s="221">
        <v>8</v>
      </c>
      <c r="K104" s="232">
        <v>5.71</v>
      </c>
      <c r="L104" s="221">
        <v>0.27</v>
      </c>
    </row>
    <row r="105" spans="2:12" ht="18" customHeight="1" thickBot="1" x14ac:dyDescent="0.3">
      <c r="B105" s="8" t="s">
        <v>20</v>
      </c>
      <c r="C105" s="40" t="s">
        <v>62</v>
      </c>
      <c r="D105" s="222">
        <v>10</v>
      </c>
      <c r="E105" s="220">
        <v>0.08</v>
      </c>
      <c r="F105" s="220">
        <v>7.25</v>
      </c>
      <c r="G105" s="220">
        <v>0.13</v>
      </c>
      <c r="H105" s="220">
        <v>66.099999999999994</v>
      </c>
      <c r="I105" s="220">
        <v>0</v>
      </c>
      <c r="J105" s="220">
        <v>2.4</v>
      </c>
      <c r="K105" s="223">
        <v>0.05</v>
      </c>
      <c r="L105" s="221">
        <v>0.02</v>
      </c>
    </row>
    <row r="106" spans="2:12" ht="18" customHeight="1" thickBot="1" x14ac:dyDescent="0.3">
      <c r="B106" s="8" t="s">
        <v>14</v>
      </c>
      <c r="C106" s="42" t="s">
        <v>46</v>
      </c>
      <c r="D106" s="222">
        <v>50</v>
      </c>
      <c r="E106" s="220">
        <v>3.8</v>
      </c>
      <c r="F106" s="220">
        <v>0.4</v>
      </c>
      <c r="G106" s="220">
        <v>24.6</v>
      </c>
      <c r="H106" s="220">
        <v>117.5</v>
      </c>
      <c r="I106" s="220">
        <v>0</v>
      </c>
      <c r="J106" s="220">
        <v>11.5</v>
      </c>
      <c r="K106" s="223">
        <v>16.5</v>
      </c>
      <c r="L106" s="221">
        <v>0.95</v>
      </c>
    </row>
    <row r="107" spans="2:12" ht="18.75" customHeight="1" thickBot="1" x14ac:dyDescent="0.3">
      <c r="B107" s="14" t="s">
        <v>16</v>
      </c>
      <c r="C107" s="9" t="s">
        <v>47</v>
      </c>
      <c r="D107" s="218">
        <v>50</v>
      </c>
      <c r="E107" s="219">
        <v>3.3</v>
      </c>
      <c r="F107" s="219">
        <v>0.6</v>
      </c>
      <c r="G107" s="219">
        <v>16.7</v>
      </c>
      <c r="H107" s="219">
        <v>87</v>
      </c>
      <c r="I107" s="38">
        <v>0</v>
      </c>
      <c r="J107" s="45">
        <v>16.5</v>
      </c>
      <c r="K107" s="234">
        <v>28.5</v>
      </c>
      <c r="L107" s="38">
        <v>2.25</v>
      </c>
    </row>
    <row r="108" spans="2:12" ht="18" customHeight="1" thickBot="1" x14ac:dyDescent="0.3">
      <c r="B108" s="8" t="s">
        <v>66</v>
      </c>
      <c r="C108" s="42" t="s">
        <v>67</v>
      </c>
      <c r="D108" s="222">
        <v>200</v>
      </c>
      <c r="E108" s="220">
        <v>1</v>
      </c>
      <c r="F108" s="220">
        <v>0.2</v>
      </c>
      <c r="G108" s="220">
        <v>20.2</v>
      </c>
      <c r="H108" s="220">
        <v>92</v>
      </c>
      <c r="I108" s="220">
        <v>4</v>
      </c>
      <c r="J108" s="220">
        <v>14</v>
      </c>
      <c r="K108" s="224">
        <v>8</v>
      </c>
      <c r="L108" s="221">
        <v>2.8</v>
      </c>
    </row>
    <row r="109" spans="2:12" ht="19.5" customHeight="1" thickBot="1" x14ac:dyDescent="0.3">
      <c r="B109" s="26"/>
      <c r="C109" s="52" t="s">
        <v>30</v>
      </c>
      <c r="D109" s="225">
        <f t="shared" ref="D109:L109" si="15">SUM(D103:D108)</f>
        <v>500</v>
      </c>
      <c r="E109" s="62">
        <f t="shared" si="15"/>
        <v>19.630000000000003</v>
      </c>
      <c r="F109" s="62">
        <f t="shared" si="15"/>
        <v>20.43</v>
      </c>
      <c r="G109" s="62">
        <f t="shared" si="15"/>
        <v>66.150000000000006</v>
      </c>
      <c r="H109" s="62">
        <f t="shared" si="15"/>
        <v>540.48</v>
      </c>
      <c r="I109" s="62">
        <f t="shared" si="15"/>
        <v>7.5500000000000007</v>
      </c>
      <c r="J109" s="62">
        <f t="shared" si="15"/>
        <v>138.91000000000003</v>
      </c>
      <c r="K109" s="62">
        <f t="shared" si="15"/>
        <v>73.349999999999994</v>
      </c>
      <c r="L109" s="62">
        <f t="shared" si="15"/>
        <v>8.39</v>
      </c>
    </row>
    <row r="110" spans="2:12" ht="21" customHeight="1" thickBot="1" x14ac:dyDescent="0.3">
      <c r="B110" s="13" t="s">
        <v>1</v>
      </c>
      <c r="C110" s="39"/>
      <c r="D110" s="227"/>
      <c r="E110" s="39"/>
      <c r="F110" s="39"/>
      <c r="G110" s="39"/>
      <c r="H110" s="39"/>
      <c r="I110" s="39"/>
      <c r="J110" s="39"/>
      <c r="K110" s="39"/>
      <c r="L110" s="63"/>
    </row>
    <row r="111" spans="2:12" ht="19.5" customHeight="1" thickBot="1" x14ac:dyDescent="0.3">
      <c r="B111" s="20" t="s">
        <v>97</v>
      </c>
      <c r="C111" s="36" t="s">
        <v>129</v>
      </c>
      <c r="D111" s="218">
        <v>60</v>
      </c>
      <c r="E111" s="229">
        <v>0.66</v>
      </c>
      <c r="F111" s="229">
        <v>0.12</v>
      </c>
      <c r="G111" s="229">
        <v>2.2799999999999998</v>
      </c>
      <c r="H111" s="229">
        <v>13.2</v>
      </c>
      <c r="I111" s="38">
        <v>10.5</v>
      </c>
      <c r="J111" s="241">
        <v>8.4</v>
      </c>
      <c r="K111" s="234">
        <v>12</v>
      </c>
      <c r="L111" s="38">
        <v>0.54</v>
      </c>
    </row>
    <row r="112" spans="2:12" ht="18" customHeight="1" thickBot="1" x14ac:dyDescent="0.3">
      <c r="B112" s="14" t="s">
        <v>73</v>
      </c>
      <c r="C112" s="9" t="s">
        <v>57</v>
      </c>
      <c r="D112" s="218">
        <v>200</v>
      </c>
      <c r="E112" s="219">
        <v>1.53</v>
      </c>
      <c r="F112" s="219">
        <v>3.34</v>
      </c>
      <c r="G112" s="219">
        <v>6.67</v>
      </c>
      <c r="H112" s="220">
        <v>63.6</v>
      </c>
      <c r="I112" s="224">
        <v>23.64</v>
      </c>
      <c r="J112" s="232">
        <v>42.83</v>
      </c>
      <c r="K112" s="224">
        <v>16.77</v>
      </c>
      <c r="L112" s="224">
        <v>0.59</v>
      </c>
    </row>
    <row r="113" spans="2:13" ht="18" customHeight="1" thickBot="1" x14ac:dyDescent="0.3">
      <c r="B113" s="14" t="s">
        <v>70</v>
      </c>
      <c r="C113" s="9" t="s">
        <v>104</v>
      </c>
      <c r="D113" s="218">
        <v>90</v>
      </c>
      <c r="E113" s="219">
        <v>11.8</v>
      </c>
      <c r="F113" s="219">
        <v>6.1</v>
      </c>
      <c r="G113" s="219">
        <v>2.7</v>
      </c>
      <c r="H113" s="219">
        <v>112.8</v>
      </c>
      <c r="I113" s="38">
        <v>0.5</v>
      </c>
      <c r="J113" s="45">
        <v>25.9</v>
      </c>
      <c r="K113" s="224">
        <v>22.6</v>
      </c>
      <c r="L113" s="221">
        <v>0.7</v>
      </c>
    </row>
    <row r="114" spans="2:13" ht="17.25" customHeight="1" thickBot="1" x14ac:dyDescent="0.3">
      <c r="B114" s="14" t="s">
        <v>79</v>
      </c>
      <c r="C114" s="9" t="s">
        <v>123</v>
      </c>
      <c r="D114" s="218">
        <v>150</v>
      </c>
      <c r="E114" s="219">
        <v>3.78</v>
      </c>
      <c r="F114" s="219">
        <v>7.78</v>
      </c>
      <c r="G114" s="219">
        <v>39.29</v>
      </c>
      <c r="H114" s="219">
        <v>242</v>
      </c>
      <c r="I114" s="38">
        <v>0</v>
      </c>
      <c r="J114" s="45">
        <v>4.13</v>
      </c>
      <c r="K114" s="224">
        <v>18</v>
      </c>
      <c r="L114" s="221">
        <v>0.37</v>
      </c>
    </row>
    <row r="115" spans="2:13" ht="18.75" customHeight="1" thickBot="1" x14ac:dyDescent="0.3">
      <c r="B115" s="14" t="s">
        <v>14</v>
      </c>
      <c r="C115" s="9" t="s">
        <v>46</v>
      </c>
      <c r="D115" s="218">
        <v>40</v>
      </c>
      <c r="E115" s="219">
        <v>3.04</v>
      </c>
      <c r="F115" s="219">
        <v>0.32</v>
      </c>
      <c r="G115" s="219">
        <v>19.68</v>
      </c>
      <c r="H115" s="219">
        <v>94</v>
      </c>
      <c r="I115" s="38">
        <v>0</v>
      </c>
      <c r="J115" s="45">
        <v>9.1999999999999993</v>
      </c>
      <c r="K115" s="224">
        <v>13.2</v>
      </c>
      <c r="L115" s="221">
        <v>0.76</v>
      </c>
    </row>
    <row r="116" spans="2:13" ht="18.75" customHeight="1" thickBot="1" x14ac:dyDescent="0.3">
      <c r="B116" s="14" t="s">
        <v>16</v>
      </c>
      <c r="C116" s="9" t="s">
        <v>47</v>
      </c>
      <c r="D116" s="218">
        <v>25</v>
      </c>
      <c r="E116" s="219">
        <f>1.98*25/30</f>
        <v>1.65</v>
      </c>
      <c r="F116" s="219">
        <f>0.36*250/30</f>
        <v>3</v>
      </c>
      <c r="G116" s="219">
        <f>10.02*25/30</f>
        <v>8.35</v>
      </c>
      <c r="H116" s="219">
        <f>52.2*25/30</f>
        <v>43.5</v>
      </c>
      <c r="I116" s="38">
        <v>0</v>
      </c>
      <c r="J116" s="45">
        <f>9.9*25/30</f>
        <v>8.25</v>
      </c>
      <c r="K116" s="234">
        <f>17.1*25/30</f>
        <v>14.250000000000002</v>
      </c>
      <c r="L116" s="38">
        <f>1.35*25/30</f>
        <v>1.125</v>
      </c>
    </row>
    <row r="117" spans="2:13" ht="19.5" customHeight="1" thickBot="1" x14ac:dyDescent="0.3">
      <c r="B117" s="8" t="s">
        <v>13</v>
      </c>
      <c r="C117" s="37" t="s">
        <v>49</v>
      </c>
      <c r="D117" s="194">
        <v>180</v>
      </c>
      <c r="E117" s="38">
        <v>0</v>
      </c>
      <c r="F117" s="38">
        <v>0</v>
      </c>
      <c r="G117" s="38">
        <v>6.29</v>
      </c>
      <c r="H117" s="219">
        <v>25.14</v>
      </c>
      <c r="I117" s="221">
        <v>0.05</v>
      </c>
      <c r="J117" s="230">
        <v>2.42</v>
      </c>
      <c r="K117" s="224">
        <v>1.98</v>
      </c>
      <c r="L117" s="221">
        <v>0.39</v>
      </c>
    </row>
    <row r="118" spans="2:13" ht="20.25" customHeight="1" thickBot="1" x14ac:dyDescent="0.45">
      <c r="B118" s="14"/>
      <c r="C118" s="53" t="s">
        <v>2</v>
      </c>
      <c r="D118" s="257">
        <f t="shared" ref="D118:L118" si="16">SUM(D111:D117)</f>
        <v>745</v>
      </c>
      <c r="E118" s="258">
        <f t="shared" si="16"/>
        <v>22.459999999999997</v>
      </c>
      <c r="F118" s="258">
        <f t="shared" si="16"/>
        <v>20.66</v>
      </c>
      <c r="G118" s="258">
        <f t="shared" si="16"/>
        <v>85.26</v>
      </c>
      <c r="H118" s="258">
        <f t="shared" si="16"/>
        <v>594.24</v>
      </c>
      <c r="I118" s="259">
        <f t="shared" si="16"/>
        <v>34.69</v>
      </c>
      <c r="J118" s="260">
        <f t="shared" si="16"/>
        <v>101.13</v>
      </c>
      <c r="K118" s="261">
        <f t="shared" si="16"/>
        <v>98.800000000000011</v>
      </c>
      <c r="L118" s="261">
        <f t="shared" si="16"/>
        <v>4.4749999999999996</v>
      </c>
      <c r="M118" s="262"/>
    </row>
    <row r="119" spans="2:13" ht="21" customHeight="1" thickBot="1" x14ac:dyDescent="0.3">
      <c r="B119" s="8"/>
      <c r="C119" s="46" t="s">
        <v>3</v>
      </c>
      <c r="D119" s="64">
        <f t="shared" ref="D119:L119" si="17">D118+D109</f>
        <v>1245</v>
      </c>
      <c r="E119" s="65">
        <f t="shared" si="17"/>
        <v>42.09</v>
      </c>
      <c r="F119" s="65">
        <f t="shared" si="17"/>
        <v>41.09</v>
      </c>
      <c r="G119" s="65">
        <f t="shared" si="17"/>
        <v>151.41000000000003</v>
      </c>
      <c r="H119" s="65">
        <f t="shared" si="17"/>
        <v>1134.72</v>
      </c>
      <c r="I119" s="65">
        <f t="shared" si="17"/>
        <v>42.239999999999995</v>
      </c>
      <c r="J119" s="65">
        <f t="shared" si="17"/>
        <v>240.04000000000002</v>
      </c>
      <c r="K119" s="65">
        <f t="shared" si="17"/>
        <v>172.15</v>
      </c>
      <c r="L119" s="62">
        <f t="shared" si="17"/>
        <v>12.865</v>
      </c>
    </row>
    <row r="120" spans="2:13" ht="21" customHeight="1" thickBot="1" x14ac:dyDescent="0.3">
      <c r="B120" s="18" t="s">
        <v>23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66"/>
    </row>
    <row r="121" spans="2:13" ht="18" customHeight="1" thickBot="1" x14ac:dyDescent="0.3">
      <c r="B121" s="195" t="s">
        <v>4</v>
      </c>
      <c r="C121" s="197" t="s">
        <v>0</v>
      </c>
      <c r="D121" s="197" t="s">
        <v>35</v>
      </c>
      <c r="E121" s="202" t="s">
        <v>12</v>
      </c>
      <c r="F121" s="203"/>
      <c r="G121" s="203"/>
      <c r="H121" s="204"/>
      <c r="I121" s="205" t="s">
        <v>40</v>
      </c>
      <c r="J121" s="199" t="s">
        <v>41</v>
      </c>
      <c r="K121" s="199" t="s">
        <v>42</v>
      </c>
      <c r="L121" s="199" t="s">
        <v>44</v>
      </c>
    </row>
    <row r="122" spans="2:13" ht="31.5" customHeight="1" thickBot="1" x14ac:dyDescent="0.3">
      <c r="B122" s="196"/>
      <c r="C122" s="198"/>
      <c r="D122" s="198"/>
      <c r="E122" s="61" t="s">
        <v>36</v>
      </c>
      <c r="F122" s="61" t="s">
        <v>37</v>
      </c>
      <c r="G122" s="61" t="s">
        <v>38</v>
      </c>
      <c r="H122" s="61" t="s">
        <v>39</v>
      </c>
      <c r="I122" s="206"/>
      <c r="J122" s="200"/>
      <c r="K122" s="200"/>
      <c r="L122" s="200"/>
    </row>
    <row r="123" spans="2:13" ht="18" customHeight="1" thickBot="1" x14ac:dyDescent="0.3">
      <c r="B123" s="13" t="s">
        <v>29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63"/>
    </row>
    <row r="124" spans="2:13" ht="18" customHeight="1" thickBot="1" x14ac:dyDescent="0.3">
      <c r="B124" s="14" t="s">
        <v>50</v>
      </c>
      <c r="C124" s="11" t="s">
        <v>90</v>
      </c>
      <c r="D124" s="228">
        <v>250</v>
      </c>
      <c r="E124" s="219">
        <v>6.72</v>
      </c>
      <c r="F124" s="219">
        <v>10.06</v>
      </c>
      <c r="G124" s="219">
        <v>26.78</v>
      </c>
      <c r="H124" s="219">
        <v>225.27</v>
      </c>
      <c r="I124" s="219">
        <v>4.2</v>
      </c>
      <c r="J124" s="219">
        <v>139.03</v>
      </c>
      <c r="K124" s="234">
        <v>53.86</v>
      </c>
      <c r="L124" s="38">
        <v>1.25</v>
      </c>
    </row>
    <row r="125" spans="2:13" ht="18" customHeight="1" thickBot="1" x14ac:dyDescent="0.3">
      <c r="B125" s="14" t="s">
        <v>96</v>
      </c>
      <c r="C125" s="9" t="s">
        <v>68</v>
      </c>
      <c r="D125" s="218">
        <v>10</v>
      </c>
      <c r="E125" s="219">
        <v>2.0499999999999998</v>
      </c>
      <c r="F125" s="219">
        <v>2.2999999999999998</v>
      </c>
      <c r="G125" s="219">
        <v>0.23</v>
      </c>
      <c r="H125" s="219">
        <v>29.67</v>
      </c>
      <c r="I125" s="219">
        <v>0.06</v>
      </c>
      <c r="J125" s="219">
        <v>70</v>
      </c>
      <c r="K125" s="224">
        <v>3.3</v>
      </c>
      <c r="L125" s="221">
        <v>0.08</v>
      </c>
    </row>
    <row r="126" spans="2:13" ht="18.75" customHeight="1" thickBot="1" x14ac:dyDescent="0.3">
      <c r="B126" s="14" t="s">
        <v>14</v>
      </c>
      <c r="C126" s="9" t="s">
        <v>46</v>
      </c>
      <c r="D126" s="218">
        <v>40</v>
      </c>
      <c r="E126" s="219">
        <v>3.04</v>
      </c>
      <c r="F126" s="219">
        <v>0.32</v>
      </c>
      <c r="G126" s="219">
        <v>19.68</v>
      </c>
      <c r="H126" s="219">
        <v>94</v>
      </c>
      <c r="I126" s="221">
        <v>0</v>
      </c>
      <c r="J126" s="45">
        <v>9.1999999999999993</v>
      </c>
      <c r="K126" s="224">
        <v>13.2</v>
      </c>
      <c r="L126" s="221">
        <v>0.76</v>
      </c>
    </row>
    <row r="127" spans="2:13" ht="18.75" customHeight="1" thickBot="1" x14ac:dyDescent="0.3">
      <c r="B127" s="8" t="s">
        <v>17</v>
      </c>
      <c r="C127" s="37" t="s">
        <v>94</v>
      </c>
      <c r="D127" s="218">
        <v>100</v>
      </c>
      <c r="E127" s="219">
        <v>0.4</v>
      </c>
      <c r="F127" s="219">
        <v>0.4</v>
      </c>
      <c r="G127" s="219">
        <v>9.8000000000000007</v>
      </c>
      <c r="H127" s="219">
        <v>47</v>
      </c>
      <c r="I127" s="219">
        <v>10</v>
      </c>
      <c r="J127" s="219">
        <v>16</v>
      </c>
      <c r="K127" s="224">
        <v>9</v>
      </c>
      <c r="L127" s="221">
        <v>2.2000000000000002</v>
      </c>
    </row>
    <row r="128" spans="2:13" ht="18" customHeight="1" thickBot="1" x14ac:dyDescent="0.3">
      <c r="B128" s="8" t="s">
        <v>135</v>
      </c>
      <c r="C128" s="40" t="s">
        <v>136</v>
      </c>
      <c r="D128" s="222">
        <v>200</v>
      </c>
      <c r="E128" s="220">
        <v>1.4</v>
      </c>
      <c r="F128" s="220">
        <v>1.25</v>
      </c>
      <c r="G128" s="220">
        <v>14.79</v>
      </c>
      <c r="H128" s="220">
        <v>75.34</v>
      </c>
      <c r="I128" s="220">
        <v>2.63</v>
      </c>
      <c r="J128" s="220">
        <v>117.76</v>
      </c>
      <c r="K128" s="223">
        <v>2.23</v>
      </c>
      <c r="L128" s="221">
        <v>0.33</v>
      </c>
    </row>
    <row r="129" spans="2:12" ht="22.5" customHeight="1" thickBot="1" x14ac:dyDescent="0.3">
      <c r="B129" s="25"/>
      <c r="C129" s="50" t="s">
        <v>30</v>
      </c>
      <c r="D129" s="225">
        <f t="shared" ref="D129:L129" si="18">SUM(D124:D128)</f>
        <v>600</v>
      </c>
      <c r="E129" s="62">
        <f t="shared" si="18"/>
        <v>13.61</v>
      </c>
      <c r="F129" s="62">
        <f t="shared" si="18"/>
        <v>14.33</v>
      </c>
      <c r="G129" s="62">
        <f t="shared" si="18"/>
        <v>71.28</v>
      </c>
      <c r="H129" s="62">
        <f t="shared" si="18"/>
        <v>471.28</v>
      </c>
      <c r="I129" s="62">
        <f t="shared" si="18"/>
        <v>16.89</v>
      </c>
      <c r="J129" s="62">
        <f t="shared" si="18"/>
        <v>351.99</v>
      </c>
      <c r="K129" s="247">
        <f t="shared" si="18"/>
        <v>81.59</v>
      </c>
      <c r="L129" s="62">
        <f t="shared" si="18"/>
        <v>4.62</v>
      </c>
    </row>
    <row r="130" spans="2:12" ht="18.75" customHeight="1" thickBot="1" x14ac:dyDescent="0.3">
      <c r="B130" s="13" t="s">
        <v>1</v>
      </c>
      <c r="C130" s="39"/>
      <c r="D130" s="227"/>
      <c r="E130" s="39"/>
      <c r="F130" s="39"/>
      <c r="G130" s="39"/>
      <c r="H130" s="39"/>
      <c r="I130" s="39"/>
      <c r="J130" s="39"/>
      <c r="K130" s="39"/>
      <c r="L130" s="63"/>
    </row>
    <row r="131" spans="2:12" ht="20.25" customHeight="1" thickBot="1" x14ac:dyDescent="0.3">
      <c r="B131" s="24" t="s">
        <v>53</v>
      </c>
      <c r="C131" s="9" t="s">
        <v>132</v>
      </c>
      <c r="D131" s="218">
        <v>60</v>
      </c>
      <c r="E131" s="229">
        <v>0.48</v>
      </c>
      <c r="F131" s="229">
        <v>0.06</v>
      </c>
      <c r="G131" s="229">
        <v>1.02</v>
      </c>
      <c r="H131" s="229">
        <v>7.8</v>
      </c>
      <c r="I131" s="38">
        <v>3</v>
      </c>
      <c r="J131" s="241">
        <v>13.8</v>
      </c>
      <c r="K131" s="224">
        <v>8.4</v>
      </c>
      <c r="L131" s="221">
        <v>0.36</v>
      </c>
    </row>
    <row r="132" spans="2:12" ht="20.25" customHeight="1" thickBot="1" x14ac:dyDescent="0.3">
      <c r="B132" s="21" t="s">
        <v>71</v>
      </c>
      <c r="C132" s="9" t="s">
        <v>124</v>
      </c>
      <c r="D132" s="218">
        <v>200</v>
      </c>
      <c r="E132" s="219">
        <v>1.87</v>
      </c>
      <c r="F132" s="219">
        <v>3.8</v>
      </c>
      <c r="G132" s="219">
        <v>13.78</v>
      </c>
      <c r="H132" s="219">
        <v>97.07</v>
      </c>
      <c r="I132" s="38">
        <v>13.59</v>
      </c>
      <c r="J132" s="45">
        <v>35.24</v>
      </c>
      <c r="K132" s="263">
        <v>24.39</v>
      </c>
      <c r="L132" s="38">
        <v>1.21</v>
      </c>
    </row>
    <row r="133" spans="2:12" ht="21" customHeight="1" thickBot="1" x14ac:dyDescent="0.3">
      <c r="B133" s="8" t="s">
        <v>99</v>
      </c>
      <c r="C133" s="40" t="s">
        <v>98</v>
      </c>
      <c r="D133" s="222">
        <v>200</v>
      </c>
      <c r="E133" s="264">
        <v>14.35</v>
      </c>
      <c r="F133" s="265">
        <v>13.39</v>
      </c>
      <c r="G133" s="264">
        <v>20.260000000000002</v>
      </c>
      <c r="H133" s="265">
        <v>248</v>
      </c>
      <c r="I133" s="264">
        <v>12.94</v>
      </c>
      <c r="J133" s="265">
        <v>42.05</v>
      </c>
      <c r="K133" s="266">
        <v>44.22</v>
      </c>
      <c r="L133" s="267">
        <v>2.19</v>
      </c>
    </row>
    <row r="134" spans="2:12" ht="20.25" customHeight="1" thickBot="1" x14ac:dyDescent="0.3">
      <c r="B134" s="14" t="s">
        <v>14</v>
      </c>
      <c r="C134" s="9" t="s">
        <v>46</v>
      </c>
      <c r="D134" s="218">
        <v>40</v>
      </c>
      <c r="E134" s="219">
        <v>3.04</v>
      </c>
      <c r="F134" s="219">
        <v>0.32</v>
      </c>
      <c r="G134" s="219">
        <v>19.68</v>
      </c>
      <c r="H134" s="219">
        <v>94</v>
      </c>
      <c r="I134" s="38">
        <v>0</v>
      </c>
      <c r="J134" s="45">
        <v>9.1999999999999993</v>
      </c>
      <c r="K134" s="224">
        <v>13.2</v>
      </c>
      <c r="L134" s="221">
        <v>0.76</v>
      </c>
    </row>
    <row r="135" spans="2:12" ht="20.25" customHeight="1" thickBot="1" x14ac:dyDescent="0.3">
      <c r="B135" s="14" t="s">
        <v>16</v>
      </c>
      <c r="C135" s="9" t="s">
        <v>47</v>
      </c>
      <c r="D135" s="218">
        <v>25</v>
      </c>
      <c r="E135" s="219">
        <v>1.65</v>
      </c>
      <c r="F135" s="219">
        <v>3</v>
      </c>
      <c r="G135" s="219">
        <v>8.35</v>
      </c>
      <c r="H135" s="219">
        <v>43.5</v>
      </c>
      <c r="I135" s="38">
        <v>0</v>
      </c>
      <c r="J135" s="45">
        <v>8.25</v>
      </c>
      <c r="K135" s="224">
        <v>14.250000000000002</v>
      </c>
      <c r="L135" s="221">
        <v>1.125</v>
      </c>
    </row>
    <row r="136" spans="2:12" ht="20.25" customHeight="1" thickBot="1" x14ac:dyDescent="0.3">
      <c r="B136" s="8" t="s">
        <v>106</v>
      </c>
      <c r="C136" s="9" t="s">
        <v>107</v>
      </c>
      <c r="D136" s="268">
        <v>180</v>
      </c>
      <c r="E136" s="224">
        <v>0.46</v>
      </c>
      <c r="F136" s="224">
        <v>0.19</v>
      </c>
      <c r="G136" s="224">
        <v>9.2200000000000006</v>
      </c>
      <c r="H136" s="224">
        <v>49.11</v>
      </c>
      <c r="I136" s="38">
        <v>135</v>
      </c>
      <c r="J136" s="45">
        <v>8.18</v>
      </c>
      <c r="K136" s="224">
        <v>2.2999999999999998</v>
      </c>
      <c r="L136" s="221">
        <v>0.41</v>
      </c>
    </row>
    <row r="137" spans="2:12" ht="22.5" customHeight="1" thickBot="1" x14ac:dyDescent="0.3">
      <c r="B137" s="14"/>
      <c r="C137" s="51" t="s">
        <v>2</v>
      </c>
      <c r="D137" s="245">
        <f t="shared" ref="D137:L137" si="19">SUM(D131:D136)</f>
        <v>705</v>
      </c>
      <c r="E137" s="256">
        <f t="shared" si="19"/>
        <v>21.849999999999998</v>
      </c>
      <c r="F137" s="256">
        <f t="shared" si="19"/>
        <v>20.76</v>
      </c>
      <c r="G137" s="256">
        <f t="shared" si="19"/>
        <v>72.31</v>
      </c>
      <c r="H137" s="256">
        <f t="shared" si="19"/>
        <v>539.48</v>
      </c>
      <c r="I137" s="256">
        <f t="shared" si="19"/>
        <v>164.53</v>
      </c>
      <c r="J137" s="256">
        <f t="shared" si="19"/>
        <v>116.72</v>
      </c>
      <c r="K137" s="256">
        <f t="shared" si="19"/>
        <v>106.75999999999999</v>
      </c>
      <c r="L137" s="244">
        <f t="shared" si="19"/>
        <v>6.0549999999999997</v>
      </c>
    </row>
    <row r="138" spans="2:12" ht="21.75" customHeight="1" thickBot="1" x14ac:dyDescent="0.3">
      <c r="B138" s="8"/>
      <c r="C138" s="46" t="s">
        <v>3</v>
      </c>
      <c r="D138" s="64">
        <f t="shared" ref="D138:L138" si="20">D137+D129</f>
        <v>1305</v>
      </c>
      <c r="E138" s="65">
        <f t="shared" si="20"/>
        <v>35.459999999999994</v>
      </c>
      <c r="F138" s="65">
        <f t="shared" si="20"/>
        <v>35.090000000000003</v>
      </c>
      <c r="G138" s="65">
        <f t="shared" si="20"/>
        <v>143.59</v>
      </c>
      <c r="H138" s="65">
        <f t="shared" si="20"/>
        <v>1010.76</v>
      </c>
      <c r="I138" s="65">
        <f t="shared" si="20"/>
        <v>181.42000000000002</v>
      </c>
      <c r="J138" s="65">
        <f t="shared" si="20"/>
        <v>468.71000000000004</v>
      </c>
      <c r="K138" s="65">
        <f t="shared" si="20"/>
        <v>188.35</v>
      </c>
      <c r="L138" s="62">
        <f t="shared" si="20"/>
        <v>10.675000000000001</v>
      </c>
    </row>
    <row r="139" spans="2:12" ht="19.5" customHeight="1" thickBot="1" x14ac:dyDescent="0.3">
      <c r="B139" s="18" t="s">
        <v>24</v>
      </c>
      <c r="C139" s="48"/>
      <c r="D139" s="48"/>
      <c r="E139" s="48"/>
      <c r="F139" s="48"/>
      <c r="G139" s="48"/>
      <c r="H139" s="48"/>
      <c r="I139" s="48"/>
      <c r="J139" s="48"/>
      <c r="K139" s="48"/>
      <c r="L139" s="66"/>
    </row>
    <row r="140" spans="2:12" ht="16.5" thickBot="1" x14ac:dyDescent="0.3">
      <c r="B140" s="195" t="s">
        <v>4</v>
      </c>
      <c r="C140" s="197" t="s">
        <v>0</v>
      </c>
      <c r="D140" s="197" t="s">
        <v>35</v>
      </c>
      <c r="E140" s="202" t="s">
        <v>12</v>
      </c>
      <c r="F140" s="203"/>
      <c r="G140" s="203"/>
      <c r="H140" s="204"/>
      <c r="I140" s="205" t="s">
        <v>40</v>
      </c>
      <c r="J140" s="199" t="s">
        <v>41</v>
      </c>
      <c r="K140" s="199" t="s">
        <v>42</v>
      </c>
      <c r="L140" s="199" t="s">
        <v>44</v>
      </c>
    </row>
    <row r="141" spans="2:12" ht="32.25" thickBot="1" x14ac:dyDescent="0.3">
      <c r="B141" s="196"/>
      <c r="C141" s="198"/>
      <c r="D141" s="198"/>
      <c r="E141" s="61" t="s">
        <v>36</v>
      </c>
      <c r="F141" s="61" t="s">
        <v>37</v>
      </c>
      <c r="G141" s="61" t="s">
        <v>38</v>
      </c>
      <c r="H141" s="61" t="s">
        <v>39</v>
      </c>
      <c r="I141" s="206"/>
      <c r="J141" s="200"/>
      <c r="K141" s="200"/>
      <c r="L141" s="200"/>
    </row>
    <row r="142" spans="2:12" ht="20.25" customHeight="1" thickBot="1" x14ac:dyDescent="0.3">
      <c r="B142" s="13" t="s">
        <v>29</v>
      </c>
      <c r="C142" s="39"/>
      <c r="D142" s="39"/>
      <c r="E142" s="39"/>
      <c r="F142" s="39"/>
      <c r="G142" s="39"/>
      <c r="H142" s="39"/>
      <c r="I142" s="39"/>
      <c r="J142" s="39"/>
      <c r="K142" s="39"/>
      <c r="L142" s="63"/>
    </row>
    <row r="143" spans="2:12" ht="19.5" customHeight="1" thickBot="1" x14ac:dyDescent="0.3">
      <c r="B143" s="8" t="s">
        <v>97</v>
      </c>
      <c r="C143" s="11" t="s">
        <v>129</v>
      </c>
      <c r="D143" s="228">
        <v>60</v>
      </c>
      <c r="E143" s="219">
        <v>0.66</v>
      </c>
      <c r="F143" s="219">
        <v>0.12</v>
      </c>
      <c r="G143" s="219">
        <v>2.2799999999999998</v>
      </c>
      <c r="H143" s="219">
        <v>13.2</v>
      </c>
      <c r="I143" s="219">
        <v>10.5</v>
      </c>
      <c r="J143" s="219">
        <v>8.4</v>
      </c>
      <c r="K143" s="234">
        <v>12</v>
      </c>
      <c r="L143" s="38">
        <v>0.51</v>
      </c>
    </row>
    <row r="144" spans="2:12" ht="20.25" customHeight="1" thickBot="1" x14ac:dyDescent="0.3">
      <c r="B144" s="8" t="s">
        <v>137</v>
      </c>
      <c r="C144" s="40" t="s">
        <v>104</v>
      </c>
      <c r="D144" s="222">
        <v>90</v>
      </c>
      <c r="E144" s="220">
        <v>10.63</v>
      </c>
      <c r="F144" s="220">
        <v>12.64</v>
      </c>
      <c r="G144" s="220">
        <v>13.07</v>
      </c>
      <c r="H144" s="220">
        <v>209.45</v>
      </c>
      <c r="I144" s="220">
        <v>0.54</v>
      </c>
      <c r="J144" s="220">
        <v>60.77</v>
      </c>
      <c r="K144" s="223">
        <v>33.950000000000003</v>
      </c>
      <c r="L144" s="221">
        <v>1.2</v>
      </c>
    </row>
    <row r="145" spans="2:12" ht="21" customHeight="1" thickBot="1" x14ac:dyDescent="0.3">
      <c r="B145" s="8" t="s">
        <v>28</v>
      </c>
      <c r="C145" s="9" t="s">
        <v>105</v>
      </c>
      <c r="D145" s="218">
        <v>150</v>
      </c>
      <c r="E145" s="219">
        <v>3.25</v>
      </c>
      <c r="F145" s="219">
        <v>4.34</v>
      </c>
      <c r="G145" s="219">
        <v>22.05</v>
      </c>
      <c r="H145" s="219">
        <v>140.69</v>
      </c>
      <c r="I145" s="219">
        <v>25.95</v>
      </c>
      <c r="J145" s="219">
        <v>46.43</v>
      </c>
      <c r="K145" s="223">
        <v>33.01</v>
      </c>
      <c r="L145" s="221">
        <v>1.23</v>
      </c>
    </row>
    <row r="146" spans="2:12" ht="20.25" customHeight="1" thickBot="1" x14ac:dyDescent="0.3">
      <c r="B146" s="8" t="s">
        <v>14</v>
      </c>
      <c r="C146" s="37" t="s">
        <v>46</v>
      </c>
      <c r="D146" s="194">
        <v>30</v>
      </c>
      <c r="E146" s="38">
        <v>2.2799999999999998</v>
      </c>
      <c r="F146" s="38">
        <v>0.24</v>
      </c>
      <c r="G146" s="38">
        <v>14.76</v>
      </c>
      <c r="H146" s="38">
        <v>70.5</v>
      </c>
      <c r="I146" s="38">
        <v>0</v>
      </c>
      <c r="J146" s="38">
        <v>6.9</v>
      </c>
      <c r="K146" s="224">
        <v>9.9</v>
      </c>
      <c r="L146" s="221">
        <v>0.56999999999999995</v>
      </c>
    </row>
    <row r="147" spans="2:12" ht="20.25" customHeight="1" thickBot="1" x14ac:dyDescent="0.3">
      <c r="B147" s="8" t="s">
        <v>106</v>
      </c>
      <c r="C147" s="37" t="s">
        <v>107</v>
      </c>
      <c r="D147" s="218">
        <v>180</v>
      </c>
      <c r="E147" s="219">
        <v>0.46</v>
      </c>
      <c r="F147" s="219">
        <v>0.19</v>
      </c>
      <c r="G147" s="219">
        <v>9.2200000000000006</v>
      </c>
      <c r="H147" s="219">
        <v>49.11</v>
      </c>
      <c r="I147" s="219">
        <v>135</v>
      </c>
      <c r="J147" s="219">
        <v>8.18</v>
      </c>
      <c r="K147" s="224">
        <v>2.2999999999999998</v>
      </c>
      <c r="L147" s="221">
        <v>0.41</v>
      </c>
    </row>
    <row r="148" spans="2:12" ht="22.5" customHeight="1" thickBot="1" x14ac:dyDescent="0.3">
      <c r="B148" s="27"/>
      <c r="C148" s="54" t="s">
        <v>30</v>
      </c>
      <c r="D148" s="225">
        <f t="shared" ref="D148:L148" si="21">SUM(D143:D147)</f>
        <v>510</v>
      </c>
      <c r="E148" s="62">
        <f t="shared" si="21"/>
        <v>17.28</v>
      </c>
      <c r="F148" s="269">
        <f t="shared" si="21"/>
        <v>17.53</v>
      </c>
      <c r="G148" s="62">
        <f t="shared" si="21"/>
        <v>61.379999999999995</v>
      </c>
      <c r="H148" s="62">
        <f t="shared" si="21"/>
        <v>482.95</v>
      </c>
      <c r="I148" s="269">
        <f t="shared" si="21"/>
        <v>171.99</v>
      </c>
      <c r="J148" s="62">
        <f t="shared" si="21"/>
        <v>130.68</v>
      </c>
      <c r="K148" s="269">
        <f t="shared" si="21"/>
        <v>91.160000000000011</v>
      </c>
      <c r="L148" s="62">
        <f t="shared" si="21"/>
        <v>3.92</v>
      </c>
    </row>
    <row r="149" spans="2:12" ht="19.5" customHeight="1" thickBot="1" x14ac:dyDescent="0.3">
      <c r="B149" s="13" t="s">
        <v>1</v>
      </c>
      <c r="C149" s="39"/>
      <c r="D149" s="227"/>
      <c r="E149" s="39"/>
      <c r="F149" s="39"/>
      <c r="G149" s="39"/>
      <c r="H149" s="39"/>
      <c r="I149" s="39"/>
      <c r="J149" s="39"/>
      <c r="K149" s="39"/>
      <c r="L149" s="63"/>
    </row>
    <row r="150" spans="2:12" ht="21" customHeight="1" thickBot="1" x14ac:dyDescent="0.3">
      <c r="B150" s="24" t="s">
        <v>97</v>
      </c>
      <c r="C150" s="41" t="s">
        <v>132</v>
      </c>
      <c r="D150" s="252">
        <v>60</v>
      </c>
      <c r="E150" s="38">
        <v>0.42</v>
      </c>
      <c r="F150" s="38">
        <v>0.06</v>
      </c>
      <c r="G150" s="38">
        <v>1.1399999999999999</v>
      </c>
      <c r="H150" s="38">
        <v>6.6</v>
      </c>
      <c r="I150" s="38">
        <v>6</v>
      </c>
      <c r="J150" s="241">
        <v>13.8</v>
      </c>
      <c r="K150" s="223">
        <v>8.4</v>
      </c>
      <c r="L150" s="221">
        <v>0.54</v>
      </c>
    </row>
    <row r="151" spans="2:12" ht="22.5" customHeight="1" thickBot="1" x14ac:dyDescent="0.3">
      <c r="B151" s="14" t="s">
        <v>15</v>
      </c>
      <c r="C151" s="9" t="s">
        <v>54</v>
      </c>
      <c r="D151" s="218">
        <v>200</v>
      </c>
      <c r="E151" s="219">
        <v>4.7</v>
      </c>
      <c r="F151" s="219">
        <v>4.4400000000000004</v>
      </c>
      <c r="G151" s="219">
        <v>15.42</v>
      </c>
      <c r="H151" s="221">
        <v>120.68</v>
      </c>
      <c r="I151" s="224">
        <v>9.1999999999999993</v>
      </c>
      <c r="J151" s="232">
        <v>49.25</v>
      </c>
      <c r="K151" s="224">
        <v>30.61</v>
      </c>
      <c r="L151" s="233">
        <v>2</v>
      </c>
    </row>
    <row r="152" spans="2:12" ht="20.25" customHeight="1" thickBot="1" x14ac:dyDescent="0.3">
      <c r="B152" s="14" t="s">
        <v>86</v>
      </c>
      <c r="C152" s="9" t="s">
        <v>83</v>
      </c>
      <c r="D152" s="218">
        <v>200</v>
      </c>
      <c r="E152" s="219">
        <v>17.07</v>
      </c>
      <c r="F152" s="219">
        <v>19.82</v>
      </c>
      <c r="G152" s="219">
        <v>31.43</v>
      </c>
      <c r="H152" s="219">
        <v>372.22</v>
      </c>
      <c r="I152" s="38">
        <v>17.13</v>
      </c>
      <c r="J152" s="45">
        <v>141.36000000000001</v>
      </c>
      <c r="K152" s="224">
        <v>51.09</v>
      </c>
      <c r="L152" s="221">
        <v>1.48</v>
      </c>
    </row>
    <row r="153" spans="2:12" ht="21" customHeight="1" thickBot="1" x14ac:dyDescent="0.3">
      <c r="B153" s="8" t="s">
        <v>14</v>
      </c>
      <c r="C153" s="37" t="s">
        <v>46</v>
      </c>
      <c r="D153" s="194">
        <v>40</v>
      </c>
      <c r="E153" s="38">
        <v>3.04</v>
      </c>
      <c r="F153" s="38">
        <v>0.32</v>
      </c>
      <c r="G153" s="38">
        <v>19.68</v>
      </c>
      <c r="H153" s="219">
        <v>94</v>
      </c>
      <c r="I153" s="221">
        <v>0</v>
      </c>
      <c r="J153" s="230">
        <v>9.1999999999999993</v>
      </c>
      <c r="K153" s="224">
        <v>13.2</v>
      </c>
      <c r="L153" s="221">
        <v>0.76</v>
      </c>
    </row>
    <row r="154" spans="2:12" ht="21" customHeight="1" thickBot="1" x14ac:dyDescent="0.3">
      <c r="B154" s="8" t="s">
        <v>16</v>
      </c>
      <c r="C154" s="37" t="s">
        <v>47</v>
      </c>
      <c r="D154" s="194">
        <v>25</v>
      </c>
      <c r="E154" s="38">
        <v>1.65</v>
      </c>
      <c r="F154" s="38">
        <v>3</v>
      </c>
      <c r="G154" s="38">
        <v>8.35</v>
      </c>
      <c r="H154" s="219">
        <v>43.5</v>
      </c>
      <c r="I154" s="221">
        <v>0</v>
      </c>
      <c r="J154" s="230">
        <v>8.25</v>
      </c>
      <c r="K154" s="224">
        <v>14.250000000000002</v>
      </c>
      <c r="L154" s="221">
        <v>1.125</v>
      </c>
    </row>
    <row r="155" spans="2:12" ht="20.25" customHeight="1" thickBot="1" x14ac:dyDescent="0.3">
      <c r="B155" s="14" t="s">
        <v>27</v>
      </c>
      <c r="C155" s="9" t="s">
        <v>112</v>
      </c>
      <c r="D155" s="218">
        <v>180</v>
      </c>
      <c r="E155" s="219">
        <v>1.04</v>
      </c>
      <c r="F155" s="219">
        <v>0.27</v>
      </c>
      <c r="G155" s="219">
        <v>42.53</v>
      </c>
      <c r="H155" s="219">
        <v>176.74</v>
      </c>
      <c r="I155" s="221">
        <v>0.72</v>
      </c>
      <c r="J155" s="45">
        <v>5.26</v>
      </c>
      <c r="K155" s="234">
        <v>30.03</v>
      </c>
      <c r="L155" s="221">
        <v>0.86</v>
      </c>
    </row>
    <row r="156" spans="2:12" ht="23.25" customHeight="1" thickBot="1" x14ac:dyDescent="0.3">
      <c r="B156" s="28"/>
      <c r="C156" s="51" t="s">
        <v>2</v>
      </c>
      <c r="D156" s="245">
        <f t="shared" ref="D156:L156" si="22">SUM(D150:D155)</f>
        <v>705</v>
      </c>
      <c r="E156" s="256">
        <f t="shared" si="22"/>
        <v>27.919999999999998</v>
      </c>
      <c r="F156" s="256">
        <f t="shared" si="22"/>
        <v>27.91</v>
      </c>
      <c r="G156" s="256">
        <f t="shared" si="22"/>
        <v>118.54999999999998</v>
      </c>
      <c r="H156" s="256">
        <f t="shared" si="22"/>
        <v>813.74</v>
      </c>
      <c r="I156" s="256">
        <f t="shared" si="22"/>
        <v>33.049999999999997</v>
      </c>
      <c r="J156" s="256">
        <f t="shared" si="22"/>
        <v>227.12</v>
      </c>
      <c r="K156" s="256">
        <f t="shared" si="22"/>
        <v>147.57999999999998</v>
      </c>
      <c r="L156" s="62">
        <f t="shared" si="22"/>
        <v>6.7649999999999997</v>
      </c>
    </row>
    <row r="157" spans="2:12" ht="21.75" customHeight="1" thickBot="1" x14ac:dyDescent="0.3">
      <c r="B157" s="16"/>
      <c r="C157" s="46" t="s">
        <v>3</v>
      </c>
      <c r="D157" s="64">
        <f t="shared" ref="D157:L157" si="23">D156+D148</f>
        <v>1215</v>
      </c>
      <c r="E157" s="65">
        <f t="shared" si="23"/>
        <v>45.2</v>
      </c>
      <c r="F157" s="65">
        <f t="shared" si="23"/>
        <v>45.44</v>
      </c>
      <c r="G157" s="65">
        <f t="shared" si="23"/>
        <v>179.92999999999998</v>
      </c>
      <c r="H157" s="65">
        <f t="shared" si="23"/>
        <v>1296.69</v>
      </c>
      <c r="I157" s="65">
        <f t="shared" si="23"/>
        <v>205.04000000000002</v>
      </c>
      <c r="J157" s="65">
        <f t="shared" si="23"/>
        <v>357.8</v>
      </c>
      <c r="K157" s="65">
        <f t="shared" si="23"/>
        <v>238.74</v>
      </c>
      <c r="L157" s="62">
        <f t="shared" si="23"/>
        <v>10.684999999999999</v>
      </c>
    </row>
    <row r="158" spans="2:12" ht="22.5" customHeight="1" thickBot="1" x14ac:dyDescent="0.3">
      <c r="B158" s="18" t="s">
        <v>25</v>
      </c>
      <c r="C158" s="48"/>
      <c r="D158" s="48"/>
      <c r="E158" s="48"/>
      <c r="F158" s="48"/>
      <c r="G158" s="48"/>
      <c r="H158" s="48"/>
      <c r="I158" s="48"/>
      <c r="J158" s="48"/>
      <c r="K158" s="48"/>
      <c r="L158" s="66"/>
    </row>
    <row r="159" spans="2:12" ht="16.5" thickBot="1" x14ac:dyDescent="0.3">
      <c r="B159" s="195" t="s">
        <v>4</v>
      </c>
      <c r="C159" s="197" t="s">
        <v>0</v>
      </c>
      <c r="D159" s="197" t="s">
        <v>35</v>
      </c>
      <c r="E159" s="202" t="s">
        <v>12</v>
      </c>
      <c r="F159" s="203"/>
      <c r="G159" s="203"/>
      <c r="H159" s="204"/>
      <c r="I159" s="205" t="s">
        <v>40</v>
      </c>
      <c r="J159" s="199" t="s">
        <v>41</v>
      </c>
      <c r="K159" s="199" t="s">
        <v>42</v>
      </c>
      <c r="L159" s="199" t="s">
        <v>44</v>
      </c>
    </row>
    <row r="160" spans="2:12" ht="32.25" thickBot="1" x14ac:dyDescent="0.3">
      <c r="B160" s="196"/>
      <c r="C160" s="198"/>
      <c r="D160" s="198"/>
      <c r="E160" s="61" t="s">
        <v>36</v>
      </c>
      <c r="F160" s="61" t="s">
        <v>37</v>
      </c>
      <c r="G160" s="61" t="s">
        <v>38</v>
      </c>
      <c r="H160" s="61" t="s">
        <v>39</v>
      </c>
      <c r="I160" s="206"/>
      <c r="J160" s="200"/>
      <c r="K160" s="200"/>
      <c r="L160" s="200"/>
    </row>
    <row r="161" spans="2:12" ht="19.5" customHeight="1" thickBot="1" x14ac:dyDescent="0.3">
      <c r="B161" s="13" t="s">
        <v>29</v>
      </c>
      <c r="C161" s="39"/>
      <c r="D161" s="39"/>
      <c r="E161" s="39"/>
      <c r="F161" s="39"/>
      <c r="G161" s="39"/>
      <c r="H161" s="39"/>
      <c r="I161" s="39"/>
      <c r="J161" s="39"/>
      <c r="K161" s="39"/>
      <c r="L161" s="63"/>
    </row>
    <row r="162" spans="2:12" ht="18.75" customHeight="1" thickBot="1" x14ac:dyDescent="0.3">
      <c r="B162" s="14" t="s">
        <v>33</v>
      </c>
      <c r="C162" s="9" t="s">
        <v>108</v>
      </c>
      <c r="D162" s="218">
        <v>200</v>
      </c>
      <c r="E162" s="219">
        <v>6.69</v>
      </c>
      <c r="F162" s="219">
        <v>7.69</v>
      </c>
      <c r="G162" s="219">
        <v>34.369999999999997</v>
      </c>
      <c r="H162" s="219">
        <v>234.88</v>
      </c>
      <c r="I162" s="220">
        <v>1.76</v>
      </c>
      <c r="J162" s="220">
        <v>152.63999999999999</v>
      </c>
      <c r="K162" s="220">
        <v>48.35</v>
      </c>
      <c r="L162" s="221">
        <v>1.23</v>
      </c>
    </row>
    <row r="163" spans="2:12" ht="18.75" customHeight="1" thickBot="1" x14ac:dyDescent="0.3">
      <c r="B163" s="8" t="s">
        <v>20</v>
      </c>
      <c r="C163" s="40" t="s">
        <v>62</v>
      </c>
      <c r="D163" s="222">
        <v>10</v>
      </c>
      <c r="E163" s="220">
        <v>0.08</v>
      </c>
      <c r="F163" s="220">
        <v>7.25</v>
      </c>
      <c r="G163" s="220">
        <v>0.13</v>
      </c>
      <c r="H163" s="220">
        <v>66.099999999999994</v>
      </c>
      <c r="I163" s="220">
        <v>0</v>
      </c>
      <c r="J163" s="220">
        <v>2.4</v>
      </c>
      <c r="K163" s="223">
        <v>0.05</v>
      </c>
      <c r="L163" s="221">
        <v>0.02</v>
      </c>
    </row>
    <row r="164" spans="2:12" ht="19.5" customHeight="1" thickBot="1" x14ac:dyDescent="0.3">
      <c r="B164" s="8" t="s">
        <v>14</v>
      </c>
      <c r="C164" s="9" t="s">
        <v>46</v>
      </c>
      <c r="D164" s="222">
        <v>30</v>
      </c>
      <c r="E164" s="219">
        <v>2.2799999999999998</v>
      </c>
      <c r="F164" s="219">
        <v>0.24</v>
      </c>
      <c r="G164" s="219">
        <v>14.76</v>
      </c>
      <c r="H164" s="219">
        <v>70.5</v>
      </c>
      <c r="I164" s="219">
        <v>0</v>
      </c>
      <c r="J164" s="219">
        <v>6.9</v>
      </c>
      <c r="K164" s="224">
        <v>9.9</v>
      </c>
      <c r="L164" s="221">
        <v>0.56999999999999995</v>
      </c>
    </row>
    <row r="165" spans="2:12" ht="18.75" customHeight="1" thickBot="1" x14ac:dyDescent="0.3">
      <c r="B165" s="8" t="s">
        <v>60</v>
      </c>
      <c r="C165" s="37" t="s">
        <v>109</v>
      </c>
      <c r="D165" s="194">
        <v>180</v>
      </c>
      <c r="E165" s="38">
        <v>4.3600000000000003</v>
      </c>
      <c r="F165" s="38">
        <v>3.33</v>
      </c>
      <c r="G165" s="38">
        <v>14.04</v>
      </c>
      <c r="H165" s="219">
        <v>105.32</v>
      </c>
      <c r="I165" s="221">
        <v>1.17</v>
      </c>
      <c r="J165" s="230">
        <v>130.44999999999999</v>
      </c>
      <c r="K165" s="224">
        <v>30.17</v>
      </c>
      <c r="L165" s="233">
        <v>0.45</v>
      </c>
    </row>
    <row r="166" spans="2:12" ht="18.75" customHeight="1" thickBot="1" x14ac:dyDescent="0.3">
      <c r="B166" s="8" t="s">
        <v>17</v>
      </c>
      <c r="C166" s="37" t="s">
        <v>94</v>
      </c>
      <c r="D166" s="218">
        <v>100</v>
      </c>
      <c r="E166" s="219">
        <v>0.4</v>
      </c>
      <c r="F166" s="219">
        <v>0.4</v>
      </c>
      <c r="G166" s="219">
        <v>9.8000000000000007</v>
      </c>
      <c r="H166" s="219">
        <v>47</v>
      </c>
      <c r="I166" s="219">
        <v>10</v>
      </c>
      <c r="J166" s="219">
        <v>16</v>
      </c>
      <c r="K166" s="223">
        <v>9</v>
      </c>
      <c r="L166" s="221">
        <v>2.2000000000000002</v>
      </c>
    </row>
    <row r="167" spans="2:12" ht="20.25" customHeight="1" thickBot="1" x14ac:dyDescent="0.3">
      <c r="B167" s="27"/>
      <c r="C167" s="39" t="s">
        <v>30</v>
      </c>
      <c r="D167" s="270">
        <f t="shared" ref="D167:L167" si="24">SUM(D162:D166)</f>
        <v>520</v>
      </c>
      <c r="E167" s="259">
        <f t="shared" si="24"/>
        <v>13.81</v>
      </c>
      <c r="F167" s="259">
        <f t="shared" si="24"/>
        <v>18.91</v>
      </c>
      <c r="G167" s="259">
        <f t="shared" si="24"/>
        <v>73.099999999999994</v>
      </c>
      <c r="H167" s="259">
        <f t="shared" si="24"/>
        <v>523.79999999999995</v>
      </c>
      <c r="I167" s="259">
        <f t="shared" si="24"/>
        <v>12.93</v>
      </c>
      <c r="J167" s="259">
        <f t="shared" si="24"/>
        <v>308.39</v>
      </c>
      <c r="K167" s="259">
        <f t="shared" si="24"/>
        <v>97.47</v>
      </c>
      <c r="L167" s="259">
        <f t="shared" si="24"/>
        <v>4.4700000000000006</v>
      </c>
    </row>
    <row r="168" spans="2:12" ht="20.25" customHeight="1" thickBot="1" x14ac:dyDescent="0.3">
      <c r="B168" s="13" t="s">
        <v>1</v>
      </c>
      <c r="C168" s="39"/>
      <c r="D168" s="227"/>
      <c r="E168" s="39"/>
      <c r="F168" s="39"/>
      <c r="G168" s="39"/>
      <c r="H168" s="39"/>
      <c r="I168" s="39"/>
      <c r="J168" s="39"/>
      <c r="K168" s="39"/>
      <c r="L168" s="63"/>
    </row>
    <row r="169" spans="2:12" ht="21" customHeight="1" thickBot="1" x14ac:dyDescent="0.3">
      <c r="B169" s="14" t="s">
        <v>125</v>
      </c>
      <c r="C169" s="9" t="s">
        <v>126</v>
      </c>
      <c r="D169" s="218">
        <v>60</v>
      </c>
      <c r="E169" s="219">
        <v>0.86</v>
      </c>
      <c r="F169" s="219">
        <v>3.05</v>
      </c>
      <c r="G169" s="219">
        <v>5.13</v>
      </c>
      <c r="H169" s="219">
        <v>50.13</v>
      </c>
      <c r="I169" s="38">
        <v>16.23</v>
      </c>
      <c r="J169" s="45">
        <v>17.420000000000002</v>
      </c>
      <c r="K169" s="38">
        <v>10.3</v>
      </c>
      <c r="L169" s="38">
        <v>7.2</v>
      </c>
    </row>
    <row r="170" spans="2:12" ht="21.75" customHeight="1" thickBot="1" x14ac:dyDescent="0.3">
      <c r="B170" s="24" t="s">
        <v>19</v>
      </c>
      <c r="C170" s="9" t="s">
        <v>81</v>
      </c>
      <c r="D170" s="218">
        <v>200</v>
      </c>
      <c r="E170" s="219">
        <v>1.98</v>
      </c>
      <c r="F170" s="219">
        <v>3.51</v>
      </c>
      <c r="G170" s="219">
        <v>13.74</v>
      </c>
      <c r="H170" s="219">
        <v>95.14</v>
      </c>
      <c r="I170" s="38">
        <v>13.42</v>
      </c>
      <c r="J170" s="45">
        <v>20.309999999999999</v>
      </c>
      <c r="K170" s="223">
        <v>21.25</v>
      </c>
      <c r="L170" s="221">
        <v>0.8</v>
      </c>
    </row>
    <row r="171" spans="2:12" ht="21.75" customHeight="1" thickBot="1" x14ac:dyDescent="0.3">
      <c r="B171" s="15" t="s">
        <v>70</v>
      </c>
      <c r="C171" s="37" t="s">
        <v>127</v>
      </c>
      <c r="D171" s="194">
        <v>200</v>
      </c>
      <c r="E171" s="38">
        <v>17.02</v>
      </c>
      <c r="F171" s="38">
        <v>18.62</v>
      </c>
      <c r="G171" s="38">
        <v>18.010000000000002</v>
      </c>
      <c r="H171" s="221">
        <v>309.22000000000003</v>
      </c>
      <c r="I171" s="221">
        <v>59.16</v>
      </c>
      <c r="J171" s="230">
        <v>36.9</v>
      </c>
      <c r="K171" s="224">
        <v>47.47</v>
      </c>
      <c r="L171" s="221">
        <v>2.48</v>
      </c>
    </row>
    <row r="172" spans="2:12" ht="22.5" customHeight="1" thickBot="1" x14ac:dyDescent="0.3">
      <c r="B172" s="8" t="s">
        <v>14</v>
      </c>
      <c r="C172" s="37" t="s">
        <v>46</v>
      </c>
      <c r="D172" s="194">
        <v>40</v>
      </c>
      <c r="E172" s="38">
        <v>3.04</v>
      </c>
      <c r="F172" s="38">
        <v>0.32</v>
      </c>
      <c r="G172" s="38">
        <v>19.68</v>
      </c>
      <c r="H172" s="219">
        <v>94</v>
      </c>
      <c r="I172" s="221">
        <v>0</v>
      </c>
      <c r="J172" s="230">
        <v>9.1999999999999993</v>
      </c>
      <c r="K172" s="224">
        <v>13.2</v>
      </c>
      <c r="L172" s="221">
        <v>0.76</v>
      </c>
    </row>
    <row r="173" spans="2:12" ht="21" customHeight="1" thickBot="1" x14ac:dyDescent="0.3">
      <c r="B173" s="8" t="s">
        <v>16</v>
      </c>
      <c r="C173" s="37" t="s">
        <v>47</v>
      </c>
      <c r="D173" s="194">
        <v>25</v>
      </c>
      <c r="E173" s="38">
        <v>1.65</v>
      </c>
      <c r="F173" s="38">
        <v>3</v>
      </c>
      <c r="G173" s="38">
        <v>8.35</v>
      </c>
      <c r="H173" s="219">
        <v>43.5</v>
      </c>
      <c r="I173" s="221">
        <v>0</v>
      </c>
      <c r="J173" s="230">
        <v>8.25</v>
      </c>
      <c r="K173" s="224">
        <v>14.250000000000002</v>
      </c>
      <c r="L173" s="221">
        <v>1.125</v>
      </c>
    </row>
    <row r="174" spans="2:12" ht="21.75" customHeight="1" thickBot="1" x14ac:dyDescent="0.3">
      <c r="B174" s="14" t="s">
        <v>13</v>
      </c>
      <c r="C174" s="9" t="s">
        <v>49</v>
      </c>
      <c r="D174" s="218">
        <v>180</v>
      </c>
      <c r="E174" s="219">
        <v>0</v>
      </c>
      <c r="F174" s="219">
        <v>0</v>
      </c>
      <c r="G174" s="219">
        <v>6.29</v>
      </c>
      <c r="H174" s="219">
        <v>25.14</v>
      </c>
      <c r="I174" s="221">
        <v>0.05</v>
      </c>
      <c r="J174" s="45">
        <v>2.42</v>
      </c>
      <c r="K174" s="234">
        <v>1.98</v>
      </c>
      <c r="L174" s="221">
        <v>0.39</v>
      </c>
    </row>
    <row r="175" spans="2:12" ht="23.25" customHeight="1" thickBot="1" x14ac:dyDescent="0.3">
      <c r="B175" s="29"/>
      <c r="C175" s="55" t="s">
        <v>2</v>
      </c>
      <c r="D175" s="225">
        <f t="shared" ref="D175:L175" si="25">SUM(D169:D174)</f>
        <v>705</v>
      </c>
      <c r="E175" s="237">
        <f t="shared" si="25"/>
        <v>24.549999999999997</v>
      </c>
      <c r="F175" s="62">
        <f t="shared" si="25"/>
        <v>28.5</v>
      </c>
      <c r="G175" s="237">
        <f t="shared" si="25"/>
        <v>71.2</v>
      </c>
      <c r="H175" s="62">
        <f t="shared" si="25"/>
        <v>617.13</v>
      </c>
      <c r="I175" s="237">
        <f t="shared" si="25"/>
        <v>88.86</v>
      </c>
      <c r="J175" s="62">
        <f t="shared" si="25"/>
        <v>94.5</v>
      </c>
      <c r="K175" s="62">
        <f t="shared" si="25"/>
        <v>108.45</v>
      </c>
      <c r="L175" s="271">
        <f t="shared" si="25"/>
        <v>12.755000000000001</v>
      </c>
    </row>
    <row r="176" spans="2:12" ht="25.5" customHeight="1" thickBot="1" x14ac:dyDescent="0.3">
      <c r="B176" s="8"/>
      <c r="C176" s="46" t="s">
        <v>32</v>
      </c>
      <c r="D176" s="64">
        <f t="shared" ref="D176:L176" si="26">D175+D167</f>
        <v>1225</v>
      </c>
      <c r="E176" s="65">
        <f t="shared" si="26"/>
        <v>38.36</v>
      </c>
      <c r="F176" s="65">
        <f t="shared" si="26"/>
        <v>47.41</v>
      </c>
      <c r="G176" s="65">
        <f t="shared" si="26"/>
        <v>144.30000000000001</v>
      </c>
      <c r="H176" s="65">
        <f t="shared" si="26"/>
        <v>1140.9299999999998</v>
      </c>
      <c r="I176" s="65">
        <f t="shared" si="26"/>
        <v>101.78999999999999</v>
      </c>
      <c r="J176" s="65">
        <f t="shared" si="26"/>
        <v>402.89</v>
      </c>
      <c r="K176" s="65">
        <f t="shared" si="26"/>
        <v>205.92000000000002</v>
      </c>
      <c r="L176" s="62">
        <f t="shared" si="26"/>
        <v>17.225000000000001</v>
      </c>
    </row>
    <row r="177" spans="2:12" ht="21" customHeight="1" thickBot="1" x14ac:dyDescent="0.3">
      <c r="B177" s="18" t="s">
        <v>26</v>
      </c>
      <c r="C177" s="48"/>
      <c r="D177" s="48"/>
      <c r="E177" s="48"/>
      <c r="F177" s="48"/>
      <c r="G177" s="48"/>
      <c r="H177" s="48"/>
      <c r="I177" s="48"/>
      <c r="J177" s="48"/>
      <c r="K177" s="48"/>
      <c r="L177" s="66"/>
    </row>
    <row r="178" spans="2:12" ht="16.5" thickBot="1" x14ac:dyDescent="0.3">
      <c r="B178" s="195" t="s">
        <v>4</v>
      </c>
      <c r="C178" s="197" t="s">
        <v>0</v>
      </c>
      <c r="D178" s="197" t="s">
        <v>35</v>
      </c>
      <c r="E178" s="202" t="s">
        <v>12</v>
      </c>
      <c r="F178" s="203"/>
      <c r="G178" s="203"/>
      <c r="H178" s="204"/>
      <c r="I178" s="205" t="s">
        <v>40</v>
      </c>
      <c r="J178" s="199" t="s">
        <v>41</v>
      </c>
      <c r="K178" s="199" t="s">
        <v>42</v>
      </c>
      <c r="L178" s="199" t="s">
        <v>44</v>
      </c>
    </row>
    <row r="179" spans="2:12" ht="32.25" thickBot="1" x14ac:dyDescent="0.3">
      <c r="B179" s="196"/>
      <c r="C179" s="198"/>
      <c r="D179" s="198"/>
      <c r="E179" s="61" t="s">
        <v>36</v>
      </c>
      <c r="F179" s="61" t="s">
        <v>37</v>
      </c>
      <c r="G179" s="61" t="s">
        <v>38</v>
      </c>
      <c r="H179" s="61" t="s">
        <v>39</v>
      </c>
      <c r="I179" s="206"/>
      <c r="J179" s="200"/>
      <c r="K179" s="200"/>
      <c r="L179" s="200"/>
    </row>
    <row r="180" spans="2:12" ht="18.75" customHeight="1" thickBot="1" x14ac:dyDescent="0.3">
      <c r="B180" s="30" t="s">
        <v>29</v>
      </c>
      <c r="C180" s="43"/>
      <c r="D180" s="43"/>
      <c r="E180" s="43"/>
      <c r="F180" s="43"/>
      <c r="G180" s="43"/>
      <c r="H180" s="43"/>
      <c r="I180" s="43"/>
      <c r="J180" s="43"/>
      <c r="K180" s="68"/>
      <c r="L180" s="68"/>
    </row>
    <row r="181" spans="2:12" ht="21" customHeight="1" thickBot="1" x14ac:dyDescent="0.3">
      <c r="B181" s="24" t="s">
        <v>97</v>
      </c>
      <c r="C181" s="9" t="s">
        <v>129</v>
      </c>
      <c r="D181" s="218">
        <v>60</v>
      </c>
      <c r="E181" s="220">
        <v>0.42</v>
      </c>
      <c r="F181" s="220">
        <v>0.06</v>
      </c>
      <c r="G181" s="220">
        <v>1.1399999999999999</v>
      </c>
      <c r="H181" s="221">
        <v>6.6</v>
      </c>
      <c r="I181" s="38">
        <v>6</v>
      </c>
      <c r="J181" s="241">
        <v>13.8</v>
      </c>
      <c r="K181" s="224">
        <v>8.4</v>
      </c>
      <c r="L181" s="221">
        <v>0.54</v>
      </c>
    </row>
    <row r="182" spans="2:12" ht="21" customHeight="1" thickBot="1" x14ac:dyDescent="0.3">
      <c r="B182" s="8" t="s">
        <v>110</v>
      </c>
      <c r="C182" s="40" t="s">
        <v>111</v>
      </c>
      <c r="D182" s="222">
        <v>200</v>
      </c>
      <c r="E182" s="220">
        <v>24.8</v>
      </c>
      <c r="F182" s="220">
        <v>6.2</v>
      </c>
      <c r="G182" s="220">
        <v>17.600000000000001</v>
      </c>
      <c r="H182" s="220">
        <v>225.7</v>
      </c>
      <c r="I182" s="220">
        <v>10.3</v>
      </c>
      <c r="J182" s="220">
        <v>25</v>
      </c>
      <c r="K182" s="223">
        <v>101</v>
      </c>
      <c r="L182" s="221">
        <v>2.29</v>
      </c>
    </row>
    <row r="183" spans="2:12" ht="18.75" customHeight="1" thickBot="1" x14ac:dyDescent="0.3">
      <c r="B183" s="8" t="s">
        <v>14</v>
      </c>
      <c r="C183" s="40" t="s">
        <v>46</v>
      </c>
      <c r="D183" s="222">
        <v>30</v>
      </c>
      <c r="E183" s="220">
        <v>2.2799999999999998</v>
      </c>
      <c r="F183" s="220">
        <v>0.24</v>
      </c>
      <c r="G183" s="220">
        <v>14.76</v>
      </c>
      <c r="H183" s="220">
        <v>70.5</v>
      </c>
      <c r="I183" s="220">
        <v>0</v>
      </c>
      <c r="J183" s="220">
        <v>6.9</v>
      </c>
      <c r="K183" s="223">
        <v>9.9</v>
      </c>
      <c r="L183" s="221">
        <v>0.56999999999999995</v>
      </c>
    </row>
    <row r="184" spans="2:12" ht="20.25" customHeight="1" thickBot="1" x14ac:dyDescent="0.3">
      <c r="B184" s="8" t="s">
        <v>16</v>
      </c>
      <c r="C184" s="37" t="s">
        <v>47</v>
      </c>
      <c r="D184" s="194">
        <v>30</v>
      </c>
      <c r="E184" s="38">
        <v>1.98</v>
      </c>
      <c r="F184" s="38">
        <v>0.36</v>
      </c>
      <c r="G184" s="38">
        <v>10.02</v>
      </c>
      <c r="H184" s="38">
        <v>52.2</v>
      </c>
      <c r="I184" s="38">
        <v>0</v>
      </c>
      <c r="J184" s="38">
        <v>9.9</v>
      </c>
      <c r="K184" s="224">
        <v>17.100000000000001</v>
      </c>
      <c r="L184" s="221">
        <v>1.35</v>
      </c>
    </row>
    <row r="185" spans="2:12" ht="20.25" customHeight="1" thickBot="1" x14ac:dyDescent="0.3">
      <c r="B185" s="8" t="s">
        <v>27</v>
      </c>
      <c r="C185" s="37" t="s">
        <v>112</v>
      </c>
      <c r="D185" s="218">
        <v>180</v>
      </c>
      <c r="E185" s="219">
        <v>1.04</v>
      </c>
      <c r="F185" s="219">
        <v>0.27</v>
      </c>
      <c r="G185" s="219">
        <v>42.53</v>
      </c>
      <c r="H185" s="219">
        <v>176.74</v>
      </c>
      <c r="I185" s="219">
        <v>0.72</v>
      </c>
      <c r="J185" s="219">
        <v>5.26</v>
      </c>
      <c r="K185" s="223">
        <v>30.03</v>
      </c>
      <c r="L185" s="221">
        <v>0.86</v>
      </c>
    </row>
    <row r="186" spans="2:12" ht="22.5" customHeight="1" thickBot="1" x14ac:dyDescent="0.3">
      <c r="B186" s="31"/>
      <c r="C186" s="50" t="s">
        <v>30</v>
      </c>
      <c r="D186" s="272">
        <f t="shared" ref="D186:L186" si="27">SUM(D181:D185)</f>
        <v>500</v>
      </c>
      <c r="E186" s="62">
        <f t="shared" si="27"/>
        <v>30.520000000000003</v>
      </c>
      <c r="F186" s="237">
        <f t="shared" si="27"/>
        <v>7.1300000000000008</v>
      </c>
      <c r="G186" s="62">
        <f t="shared" si="27"/>
        <v>86.05</v>
      </c>
      <c r="H186" s="62">
        <f t="shared" si="27"/>
        <v>531.74</v>
      </c>
      <c r="I186" s="237">
        <f t="shared" si="27"/>
        <v>17.02</v>
      </c>
      <c r="J186" s="62">
        <f t="shared" si="27"/>
        <v>60.859999999999992</v>
      </c>
      <c r="K186" s="62">
        <f t="shared" si="27"/>
        <v>166.43</v>
      </c>
      <c r="L186" s="271">
        <f t="shared" si="27"/>
        <v>5.61</v>
      </c>
    </row>
    <row r="187" spans="2:12" ht="18.75" customHeight="1" thickBot="1" x14ac:dyDescent="0.3">
      <c r="B187" s="32" t="s">
        <v>21</v>
      </c>
      <c r="C187" s="43"/>
      <c r="D187" s="273"/>
      <c r="E187" s="250"/>
      <c r="F187" s="250"/>
      <c r="G187" s="250"/>
      <c r="H187" s="250"/>
      <c r="I187" s="250"/>
      <c r="J187" s="250"/>
      <c r="K187" s="274"/>
      <c r="L187" s="275"/>
    </row>
    <row r="188" spans="2:12" ht="24.75" customHeight="1" thickBot="1" x14ac:dyDescent="0.3">
      <c r="B188" s="14" t="s">
        <v>53</v>
      </c>
      <c r="C188" s="9" t="s">
        <v>129</v>
      </c>
      <c r="D188" s="218">
        <v>60</v>
      </c>
      <c r="E188" s="219">
        <v>0.66</v>
      </c>
      <c r="F188" s="219">
        <v>0.06</v>
      </c>
      <c r="G188" s="219">
        <v>0.96</v>
      </c>
      <c r="H188" s="219">
        <v>9.6</v>
      </c>
      <c r="I188" s="38">
        <v>6</v>
      </c>
      <c r="J188" s="45">
        <v>8.4</v>
      </c>
      <c r="K188" s="38">
        <v>12</v>
      </c>
      <c r="L188" s="38">
        <v>0.54</v>
      </c>
    </row>
    <row r="189" spans="2:12" ht="23.25" customHeight="1" thickBot="1" x14ac:dyDescent="0.3">
      <c r="B189" s="14" t="s">
        <v>78</v>
      </c>
      <c r="C189" s="9" t="s">
        <v>56</v>
      </c>
      <c r="D189" s="218">
        <v>200</v>
      </c>
      <c r="E189" s="219">
        <v>1.44</v>
      </c>
      <c r="F189" s="219">
        <v>3.94</v>
      </c>
      <c r="G189" s="219">
        <v>8.75</v>
      </c>
      <c r="H189" s="219">
        <v>83</v>
      </c>
      <c r="I189" s="38">
        <v>15.99</v>
      </c>
      <c r="J189" s="45">
        <v>50.28</v>
      </c>
      <c r="K189" s="224">
        <v>19.72</v>
      </c>
      <c r="L189" s="221">
        <v>0.89</v>
      </c>
    </row>
    <row r="190" spans="2:12" ht="21.75" customHeight="1" thickBot="1" x14ac:dyDescent="0.3">
      <c r="B190" s="15" t="s">
        <v>65</v>
      </c>
      <c r="C190" s="37" t="s">
        <v>52</v>
      </c>
      <c r="D190" s="194">
        <v>200</v>
      </c>
      <c r="E190" s="38">
        <v>20.350000000000001</v>
      </c>
      <c r="F190" s="38">
        <v>6.82</v>
      </c>
      <c r="G190" s="38">
        <v>37.549999999999997</v>
      </c>
      <c r="H190" s="221">
        <v>293.17</v>
      </c>
      <c r="I190" s="221">
        <v>4.17</v>
      </c>
      <c r="J190" s="230">
        <v>22.2</v>
      </c>
      <c r="K190" s="224">
        <v>92.29</v>
      </c>
      <c r="L190" s="221">
        <v>1.78</v>
      </c>
    </row>
    <row r="191" spans="2:12" ht="24" customHeight="1" thickBot="1" x14ac:dyDescent="0.3">
      <c r="B191" s="14" t="s">
        <v>14</v>
      </c>
      <c r="C191" s="9" t="s">
        <v>46</v>
      </c>
      <c r="D191" s="218">
        <v>40</v>
      </c>
      <c r="E191" s="219">
        <v>3.04</v>
      </c>
      <c r="F191" s="219">
        <v>0.32</v>
      </c>
      <c r="G191" s="219">
        <v>19.68</v>
      </c>
      <c r="H191" s="219">
        <v>94</v>
      </c>
      <c r="I191" s="224">
        <v>0</v>
      </c>
      <c r="J191" s="232">
        <v>9.1999999999999993</v>
      </c>
      <c r="K191" s="224">
        <v>13.2</v>
      </c>
      <c r="L191" s="224">
        <v>0.76</v>
      </c>
    </row>
    <row r="192" spans="2:12" ht="22.5" customHeight="1" thickBot="1" x14ac:dyDescent="0.3">
      <c r="B192" s="14" t="s">
        <v>16</v>
      </c>
      <c r="C192" s="9" t="s">
        <v>47</v>
      </c>
      <c r="D192" s="218">
        <v>25</v>
      </c>
      <c r="E192" s="219">
        <v>1.65</v>
      </c>
      <c r="F192" s="219">
        <v>3</v>
      </c>
      <c r="G192" s="219">
        <v>8.35</v>
      </c>
      <c r="H192" s="219">
        <v>43.5</v>
      </c>
      <c r="I192" s="224">
        <v>0</v>
      </c>
      <c r="J192" s="232">
        <v>8.25</v>
      </c>
      <c r="K192" s="224">
        <v>14.250000000000002</v>
      </c>
      <c r="L192" s="224">
        <v>1.125</v>
      </c>
    </row>
    <row r="193" spans="1:15" ht="22.5" customHeight="1" thickBot="1" x14ac:dyDescent="0.3">
      <c r="B193" s="14" t="s">
        <v>27</v>
      </c>
      <c r="C193" s="9" t="s">
        <v>112</v>
      </c>
      <c r="D193" s="218">
        <v>180</v>
      </c>
      <c r="E193" s="219">
        <v>1.04</v>
      </c>
      <c r="F193" s="219">
        <v>0.27</v>
      </c>
      <c r="G193" s="219">
        <v>42.53</v>
      </c>
      <c r="H193" s="219">
        <v>176.74</v>
      </c>
      <c r="I193" s="224">
        <v>0.72</v>
      </c>
      <c r="J193" s="246">
        <v>5.26</v>
      </c>
      <c r="K193" s="263">
        <v>30.03</v>
      </c>
      <c r="L193" s="234">
        <v>0.86</v>
      </c>
    </row>
    <row r="194" spans="1:15" ht="23.25" customHeight="1" thickBot="1" x14ac:dyDescent="0.3">
      <c r="B194" s="33"/>
      <c r="C194" s="51" t="s">
        <v>2</v>
      </c>
      <c r="D194" s="245">
        <f t="shared" ref="D194:L194" si="28">SUM(D188:D193)</f>
        <v>705</v>
      </c>
      <c r="E194" s="256">
        <f t="shared" si="28"/>
        <v>28.18</v>
      </c>
      <c r="F194" s="256">
        <f t="shared" si="28"/>
        <v>14.41</v>
      </c>
      <c r="G194" s="256">
        <f t="shared" si="28"/>
        <v>117.82</v>
      </c>
      <c r="H194" s="256">
        <f t="shared" si="28"/>
        <v>700.01</v>
      </c>
      <c r="I194" s="256">
        <f t="shared" si="28"/>
        <v>26.880000000000003</v>
      </c>
      <c r="J194" s="256">
        <f t="shared" si="28"/>
        <v>103.59</v>
      </c>
      <c r="K194" s="256">
        <f t="shared" si="28"/>
        <v>181.49</v>
      </c>
      <c r="L194" s="244">
        <f t="shared" si="28"/>
        <v>5.9550000000000001</v>
      </c>
    </row>
    <row r="195" spans="1:15" ht="22.5" customHeight="1" thickBot="1" x14ac:dyDescent="0.3">
      <c r="B195" s="34"/>
      <c r="C195" s="49" t="s">
        <v>3</v>
      </c>
      <c r="D195" s="243">
        <f t="shared" ref="D195:L195" si="29">D194+D186</f>
        <v>1205</v>
      </c>
      <c r="E195" s="244">
        <f t="shared" si="29"/>
        <v>58.7</v>
      </c>
      <c r="F195" s="244">
        <f t="shared" si="29"/>
        <v>21.54</v>
      </c>
      <c r="G195" s="244">
        <f t="shared" si="29"/>
        <v>203.87</v>
      </c>
      <c r="H195" s="244">
        <f t="shared" si="29"/>
        <v>1231.75</v>
      </c>
      <c r="I195" s="244">
        <f t="shared" si="29"/>
        <v>43.900000000000006</v>
      </c>
      <c r="J195" s="244">
        <f t="shared" si="29"/>
        <v>164.45</v>
      </c>
      <c r="K195" s="244">
        <f t="shared" si="29"/>
        <v>347.92</v>
      </c>
      <c r="L195" s="244">
        <f t="shared" si="29"/>
        <v>11.565000000000001</v>
      </c>
    </row>
    <row r="196" spans="1:15" ht="24.75" customHeight="1" thickBot="1" x14ac:dyDescent="0.3">
      <c r="B196" s="35"/>
      <c r="C196" s="56" t="s">
        <v>11</v>
      </c>
      <c r="D196" s="276">
        <f t="shared" ref="D196:L196" si="30">D195+D176+D157+D138+D119+D98+D79+D61+D42+D22</f>
        <v>12365</v>
      </c>
      <c r="E196" s="277">
        <f t="shared" si="30"/>
        <v>438.59839999999997</v>
      </c>
      <c r="F196" s="277">
        <f t="shared" si="30"/>
        <v>376.91960000000006</v>
      </c>
      <c r="G196" s="277">
        <f t="shared" si="30"/>
        <v>1682.4123999999999</v>
      </c>
      <c r="H196" s="277">
        <f t="shared" si="30"/>
        <v>11839.326000000003</v>
      </c>
      <c r="I196" s="277">
        <f t="shared" si="30"/>
        <v>1017.3100000000001</v>
      </c>
      <c r="J196" s="278">
        <f t="shared" si="30"/>
        <v>3606.0899999999997</v>
      </c>
      <c r="K196" s="278">
        <f t="shared" si="30"/>
        <v>2241.4700000000003</v>
      </c>
      <c r="L196" s="279">
        <f t="shared" si="30"/>
        <v>116.22500000000001</v>
      </c>
    </row>
    <row r="197" spans="1:15" ht="24.75" customHeight="1" thickBot="1" x14ac:dyDescent="0.3">
      <c r="B197" s="280"/>
      <c r="C197" s="57" t="s">
        <v>10</v>
      </c>
      <c r="D197" s="281">
        <f t="shared" ref="D197:L197" si="31">D196/10</f>
        <v>1236.5</v>
      </c>
      <c r="E197" s="282">
        <f t="shared" si="31"/>
        <v>43.859839999999998</v>
      </c>
      <c r="F197" s="283">
        <f t="shared" si="31"/>
        <v>37.691960000000009</v>
      </c>
      <c r="G197" s="284">
        <f t="shared" si="31"/>
        <v>168.24124</v>
      </c>
      <c r="H197" s="284">
        <f t="shared" si="31"/>
        <v>1183.9326000000003</v>
      </c>
      <c r="I197" s="282">
        <f t="shared" si="31"/>
        <v>101.73100000000001</v>
      </c>
      <c r="J197" s="285">
        <f t="shared" si="31"/>
        <v>360.60899999999998</v>
      </c>
      <c r="K197" s="279">
        <f t="shared" si="31"/>
        <v>224.14700000000002</v>
      </c>
      <c r="L197" s="279">
        <f t="shared" si="31"/>
        <v>11.6225</v>
      </c>
    </row>
    <row r="198" spans="1:15" ht="31.5" customHeight="1" x14ac:dyDescent="0.25">
      <c r="A198" s="286" t="s">
        <v>34</v>
      </c>
      <c r="B198" s="287" t="s">
        <v>133</v>
      </c>
      <c r="C198" s="287"/>
      <c r="D198" s="287"/>
      <c r="E198" s="287"/>
      <c r="F198" s="287"/>
      <c r="G198" s="287"/>
      <c r="H198" s="287"/>
      <c r="I198" s="287"/>
      <c r="J198" s="287"/>
      <c r="K198" s="287"/>
      <c r="L198" s="287"/>
    </row>
    <row r="199" spans="1:15" ht="15" x14ac:dyDescent="0.25">
      <c r="B199" s="288"/>
    </row>
    <row r="200" spans="1:15" ht="15" x14ac:dyDescent="0.25">
      <c r="B200" s="288"/>
      <c r="M200" s="291"/>
      <c r="N200" s="291"/>
    </row>
    <row r="201" spans="1:15" ht="15" x14ac:dyDescent="0.25">
      <c r="B201" s="288"/>
      <c r="M201" s="291"/>
      <c r="N201" s="291"/>
    </row>
    <row r="202" spans="1:15" ht="15" x14ac:dyDescent="0.25">
      <c r="B202" s="288"/>
      <c r="M202" s="291"/>
      <c r="N202" s="291"/>
    </row>
    <row r="203" spans="1:15" ht="33" customHeight="1" x14ac:dyDescent="0.25">
      <c r="B203" s="288"/>
      <c r="M203" s="291"/>
      <c r="N203" s="291"/>
    </row>
    <row r="204" spans="1:15" ht="39.75" customHeight="1" x14ac:dyDescent="0.25">
      <c r="B204" s="288"/>
      <c r="M204" s="291"/>
      <c r="N204" s="291"/>
    </row>
    <row r="205" spans="1:15" ht="39.75" customHeight="1" x14ac:dyDescent="0.25">
      <c r="B205" s="288"/>
      <c r="M205" s="291"/>
      <c r="N205" s="291"/>
      <c r="O205" s="291"/>
    </row>
    <row r="206" spans="1:15" ht="39.75" customHeight="1" x14ac:dyDescent="0.25">
      <c r="B206" s="288"/>
      <c r="M206" s="291"/>
      <c r="N206" s="291"/>
      <c r="O206" s="291"/>
    </row>
    <row r="207" spans="1:15" ht="39.75" customHeight="1" x14ac:dyDescent="0.25">
      <c r="B207" s="288"/>
      <c r="M207" s="291"/>
      <c r="N207" s="291"/>
      <c r="O207" s="291"/>
    </row>
    <row r="208" spans="1:15" ht="39.75" customHeight="1" x14ac:dyDescent="0.25">
      <c r="B208" s="288"/>
      <c r="M208" s="291"/>
      <c r="N208" s="291"/>
      <c r="O208" s="291"/>
    </row>
    <row r="209" spans="2:15" ht="39.75" customHeight="1" x14ac:dyDescent="0.25">
      <c r="B209" s="288"/>
      <c r="M209" s="291"/>
      <c r="N209" s="291"/>
      <c r="O209" s="291"/>
    </row>
    <row r="210" spans="2:15" ht="39.75" customHeight="1" x14ac:dyDescent="0.25">
      <c r="B210" s="288"/>
      <c r="M210" s="291"/>
      <c r="N210" s="291"/>
      <c r="O210" s="291"/>
    </row>
    <row r="211" spans="2:15" ht="39.75" customHeight="1" x14ac:dyDescent="0.25">
      <c r="B211" s="288"/>
      <c r="M211" s="291"/>
      <c r="N211" s="291"/>
      <c r="O211" s="291"/>
    </row>
    <row r="212" spans="2:15" ht="39.75" customHeight="1" x14ac:dyDescent="0.25">
      <c r="B212" s="288"/>
      <c r="M212" s="291"/>
      <c r="N212" s="291"/>
      <c r="O212" s="291"/>
    </row>
    <row r="213" spans="2:15" ht="39.75" customHeight="1" x14ac:dyDescent="0.25">
      <c r="B213" s="288"/>
      <c r="M213" s="291"/>
      <c r="N213" s="291"/>
      <c r="O213" s="291"/>
    </row>
    <row r="214" spans="2:15" ht="39.75" customHeight="1" x14ac:dyDescent="0.25">
      <c r="B214" s="288"/>
      <c r="M214" s="291"/>
      <c r="N214" s="291"/>
      <c r="O214" s="291"/>
    </row>
    <row r="215" spans="2:15" ht="39.75" customHeight="1" x14ac:dyDescent="0.25">
      <c r="B215" s="288"/>
      <c r="M215" s="291"/>
      <c r="N215" s="291"/>
      <c r="O215" s="291"/>
    </row>
    <row r="216" spans="2:15" ht="39.75" customHeight="1" x14ac:dyDescent="0.25">
      <c r="B216" s="288"/>
      <c r="M216" s="291"/>
      <c r="N216" s="291"/>
      <c r="O216" s="291"/>
    </row>
  </sheetData>
  <autoFilter ref="C3:C207"/>
  <mergeCells count="82">
    <mergeCell ref="B198:L198"/>
    <mergeCell ref="J159:J160"/>
    <mergeCell ref="K159:K160"/>
    <mergeCell ref="L159:L160"/>
    <mergeCell ref="B178:B179"/>
    <mergeCell ref="C178:C179"/>
    <mergeCell ref="D178:D179"/>
    <mergeCell ref="E178:H178"/>
    <mergeCell ref="I178:I179"/>
    <mergeCell ref="J178:J179"/>
    <mergeCell ref="K178:K179"/>
    <mergeCell ref="L178:L179"/>
    <mergeCell ref="B159:B160"/>
    <mergeCell ref="C159:C160"/>
    <mergeCell ref="D159:D160"/>
    <mergeCell ref="E159:H159"/>
    <mergeCell ref="I159:I160"/>
    <mergeCell ref="J121:J122"/>
    <mergeCell ref="K121:K122"/>
    <mergeCell ref="L121:L122"/>
    <mergeCell ref="B140:B141"/>
    <mergeCell ref="C140:C141"/>
    <mergeCell ref="D140:D141"/>
    <mergeCell ref="E140:H140"/>
    <mergeCell ref="I140:I141"/>
    <mergeCell ref="J140:J141"/>
    <mergeCell ref="K140:K141"/>
    <mergeCell ref="L140:L141"/>
    <mergeCell ref="J100:J101"/>
    <mergeCell ref="K100:K101"/>
    <mergeCell ref="L100:L101"/>
    <mergeCell ref="I121:I122"/>
    <mergeCell ref="B100:B101"/>
    <mergeCell ref="C100:C101"/>
    <mergeCell ref="D100:D101"/>
    <mergeCell ref="I100:I101"/>
    <mergeCell ref="B121:B122"/>
    <mergeCell ref="C121:C122"/>
    <mergeCell ref="D121:D122"/>
    <mergeCell ref="E121:H121"/>
    <mergeCell ref="E100:H100"/>
    <mergeCell ref="J81:J82"/>
    <mergeCell ref="K81:K82"/>
    <mergeCell ref="L81:L82"/>
    <mergeCell ref="B81:B82"/>
    <mergeCell ref="C81:C82"/>
    <mergeCell ref="D81:D82"/>
    <mergeCell ref="I81:I82"/>
    <mergeCell ref="E81:H81"/>
    <mergeCell ref="J63:J64"/>
    <mergeCell ref="K63:K64"/>
    <mergeCell ref="L63:L64"/>
    <mergeCell ref="B63:B64"/>
    <mergeCell ref="C63:C64"/>
    <mergeCell ref="D63:D64"/>
    <mergeCell ref="I63:I64"/>
    <mergeCell ref="L44:L45"/>
    <mergeCell ref="B44:B45"/>
    <mergeCell ref="C44:C45"/>
    <mergeCell ref="D44:D45"/>
    <mergeCell ref="I44:I45"/>
    <mergeCell ref="C24:C25"/>
    <mergeCell ref="D24:D25"/>
    <mergeCell ref="I24:I25"/>
    <mergeCell ref="J44:J45"/>
    <mergeCell ref="K44:K45"/>
    <mergeCell ref="B1:L1"/>
    <mergeCell ref="E3:H3"/>
    <mergeCell ref="E24:H24"/>
    <mergeCell ref="E44:H44"/>
    <mergeCell ref="E63:H63"/>
    <mergeCell ref="B3:B4"/>
    <mergeCell ref="C3:C4"/>
    <mergeCell ref="D3:D4"/>
    <mergeCell ref="I3:I4"/>
    <mergeCell ref="J3:J4"/>
    <mergeCell ref="K3:K4"/>
    <mergeCell ref="J24:J25"/>
    <mergeCell ref="K24:K25"/>
    <mergeCell ref="L24:L25"/>
    <mergeCell ref="L3:L4"/>
    <mergeCell ref="B24:B25"/>
  </mergeCells>
  <pageMargins left="0.19685039370078741" right="0.11811023622047245" top="0.39370078740157483" bottom="0.19685039370078741" header="0" footer="0"/>
  <pageSetup paperSize="9" scale="63" orientation="landscape" r:id="rId1"/>
  <rowBreaks count="6" manualBreakCount="6">
    <brk id="42" max="11" man="1"/>
    <brk id="79" max="11" man="1"/>
    <brk id="119" max="11" man="1"/>
    <brk id="157" max="11" man="1"/>
    <brk id="203" max="12" man="1"/>
    <brk id="238" max="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view="pageBreakPreview" topLeftCell="A109" zoomScale="90" zoomScaleNormal="90" zoomScaleSheetLayoutView="90" workbookViewId="0">
      <selection activeCell="B121" sqref="B121"/>
    </sheetView>
  </sheetViews>
  <sheetFormatPr defaultRowHeight="22.5" customHeight="1" x14ac:dyDescent="0.25"/>
  <cols>
    <col min="1" max="1" width="2.42578125" customWidth="1"/>
    <col min="2" max="2" width="22.7109375" customWidth="1"/>
    <col min="3" max="3" width="54.42578125" customWidth="1"/>
    <col min="4" max="4" width="21.85546875" customWidth="1"/>
    <col min="5" max="5" width="16.85546875" customWidth="1"/>
    <col min="6" max="6" width="16.7109375" customWidth="1"/>
    <col min="7" max="7" width="17.140625" customWidth="1"/>
    <col min="8" max="8" width="23.140625" customWidth="1"/>
    <col min="9" max="9" width="18.42578125" customWidth="1"/>
    <col min="10" max="10" width="19" customWidth="1"/>
    <col min="11" max="11" width="18.28515625" customWidth="1"/>
    <col min="12" max="12" width="17.42578125" customWidth="1"/>
    <col min="13" max="13" width="5" customWidth="1"/>
  </cols>
  <sheetData>
    <row r="1" spans="1:14" ht="39" customHeight="1" thickBot="1" x14ac:dyDescent="0.3">
      <c r="A1" s="1"/>
      <c r="B1" s="207" t="s">
        <v>114</v>
      </c>
      <c r="C1" s="208"/>
      <c r="D1" s="208"/>
      <c r="E1" s="208"/>
      <c r="F1" s="208"/>
      <c r="G1" s="208"/>
      <c r="H1" s="208"/>
      <c r="I1" s="208"/>
      <c r="J1" s="208"/>
      <c r="K1" s="208"/>
      <c r="L1" s="209"/>
      <c r="M1" s="1"/>
      <c r="N1" s="1"/>
    </row>
    <row r="2" spans="1:14" ht="22.5" customHeight="1" thickBot="1" x14ac:dyDescent="0.3">
      <c r="A2" s="1"/>
      <c r="B2" s="58" t="s">
        <v>6</v>
      </c>
      <c r="C2" s="59"/>
      <c r="D2" s="59"/>
      <c r="E2" s="59"/>
      <c r="F2" s="59"/>
      <c r="G2" s="59"/>
      <c r="H2" s="59"/>
      <c r="I2" s="59"/>
      <c r="J2" s="59"/>
      <c r="K2" s="59"/>
      <c r="L2" s="60"/>
      <c r="M2" s="1"/>
      <c r="N2" s="1"/>
    </row>
    <row r="3" spans="1:14" ht="22.5" customHeight="1" thickBot="1" x14ac:dyDescent="0.3">
      <c r="A3" s="1"/>
      <c r="B3" s="197" t="s">
        <v>4</v>
      </c>
      <c r="C3" s="197" t="s">
        <v>0</v>
      </c>
      <c r="D3" s="197" t="s">
        <v>35</v>
      </c>
      <c r="E3" s="202" t="s">
        <v>12</v>
      </c>
      <c r="F3" s="203"/>
      <c r="G3" s="203"/>
      <c r="H3" s="204"/>
      <c r="I3" s="205" t="s">
        <v>40</v>
      </c>
      <c r="J3" s="199" t="s">
        <v>41</v>
      </c>
      <c r="K3" s="199" t="s">
        <v>42</v>
      </c>
      <c r="L3" s="199" t="s">
        <v>44</v>
      </c>
      <c r="M3" s="1"/>
      <c r="N3" s="1"/>
    </row>
    <row r="4" spans="1:14" ht="37.5" customHeight="1" thickBot="1" x14ac:dyDescent="0.3">
      <c r="A4" s="1"/>
      <c r="B4" s="198"/>
      <c r="C4" s="198"/>
      <c r="D4" s="198"/>
      <c r="E4" s="61" t="s">
        <v>36</v>
      </c>
      <c r="F4" s="61" t="s">
        <v>37</v>
      </c>
      <c r="G4" s="61" t="s">
        <v>38</v>
      </c>
      <c r="H4" s="61" t="s">
        <v>39</v>
      </c>
      <c r="I4" s="206"/>
      <c r="J4" s="200"/>
      <c r="K4" s="200"/>
      <c r="L4" s="200"/>
      <c r="M4" s="1"/>
      <c r="N4" s="1"/>
    </row>
    <row r="5" spans="1:14" ht="22.5" customHeight="1" thickBot="1" x14ac:dyDescent="0.3">
      <c r="A5" s="1"/>
      <c r="B5" s="84" t="s">
        <v>29</v>
      </c>
      <c r="C5" s="85"/>
      <c r="D5" s="86"/>
      <c r="E5" s="86"/>
      <c r="F5" s="86"/>
      <c r="G5" s="86"/>
      <c r="H5" s="86"/>
      <c r="I5" s="86"/>
      <c r="J5" s="86"/>
      <c r="K5" s="86"/>
      <c r="L5" s="87"/>
      <c r="M5" s="1"/>
      <c r="N5" s="1"/>
    </row>
    <row r="6" spans="1:14" ht="22.5" customHeight="1" thickBot="1" x14ac:dyDescent="0.3">
      <c r="A6" s="1"/>
      <c r="B6" s="69" t="s">
        <v>31</v>
      </c>
      <c r="C6" s="70" t="s">
        <v>45</v>
      </c>
      <c r="D6" s="71">
        <v>200</v>
      </c>
      <c r="E6" s="72">
        <v>16.66</v>
      </c>
      <c r="F6" s="72">
        <f>14.8*200/150</f>
        <v>19.733333333333334</v>
      </c>
      <c r="G6" s="72">
        <f>36.74*200/150</f>
        <v>48.986666666666665</v>
      </c>
      <c r="H6" s="72">
        <f>312.8*200/150</f>
        <v>417.06666666666666</v>
      </c>
      <c r="I6" s="72">
        <f>0.07*200/150</f>
        <v>9.3333333333333351E-2</v>
      </c>
      <c r="J6" s="72">
        <f>215*200/150</f>
        <v>286.66666666666669</v>
      </c>
      <c r="K6" s="73">
        <f>15.68*200/150</f>
        <v>20.906666666666666</v>
      </c>
      <c r="L6" s="74">
        <f>1.03*200/150</f>
        <v>1.3733333333333333</v>
      </c>
      <c r="M6" s="1"/>
      <c r="N6" s="1"/>
    </row>
    <row r="7" spans="1:14" ht="22.5" customHeight="1" thickBot="1" x14ac:dyDescent="0.3">
      <c r="A7" s="1"/>
      <c r="B7" s="69" t="s">
        <v>14</v>
      </c>
      <c r="C7" s="70" t="s">
        <v>46</v>
      </c>
      <c r="D7" s="71">
        <v>50</v>
      </c>
      <c r="E7" s="72">
        <v>3.8</v>
      </c>
      <c r="F7" s="72">
        <v>0.4</v>
      </c>
      <c r="G7" s="72">
        <v>24.6</v>
      </c>
      <c r="H7" s="72">
        <v>117.5</v>
      </c>
      <c r="I7" s="72">
        <v>0</v>
      </c>
      <c r="J7" s="72">
        <v>11.5</v>
      </c>
      <c r="K7" s="73">
        <v>16.5</v>
      </c>
      <c r="L7" s="74">
        <v>0.95</v>
      </c>
      <c r="M7" s="1"/>
      <c r="N7" s="1"/>
    </row>
    <row r="8" spans="1:14" ht="22.5" customHeight="1" thickBot="1" x14ac:dyDescent="0.3">
      <c r="A8" s="1"/>
      <c r="B8" s="69" t="s">
        <v>16</v>
      </c>
      <c r="C8" s="75" t="s">
        <v>47</v>
      </c>
      <c r="D8" s="76">
        <v>50</v>
      </c>
      <c r="E8" s="77">
        <v>3.3</v>
      </c>
      <c r="F8" s="77">
        <v>0.6</v>
      </c>
      <c r="G8" s="77">
        <v>16.7</v>
      </c>
      <c r="H8" s="77">
        <v>87</v>
      </c>
      <c r="I8" s="77">
        <v>0</v>
      </c>
      <c r="J8" s="77">
        <v>16.5</v>
      </c>
      <c r="K8" s="78">
        <v>28.5</v>
      </c>
      <c r="L8" s="74">
        <v>2.25</v>
      </c>
      <c r="M8" s="1"/>
      <c r="N8" s="1"/>
    </row>
    <row r="9" spans="1:14" ht="22.5" customHeight="1" thickBot="1" x14ac:dyDescent="0.3">
      <c r="A9" s="1"/>
      <c r="B9" s="69" t="s">
        <v>13</v>
      </c>
      <c r="C9" s="79" t="s">
        <v>49</v>
      </c>
      <c r="D9" s="71">
        <v>200</v>
      </c>
      <c r="E9" s="72">
        <v>0</v>
      </c>
      <c r="F9" s="72">
        <v>0</v>
      </c>
      <c r="G9" s="72">
        <v>6.9860000000000007</v>
      </c>
      <c r="H9" s="72">
        <v>27.93</v>
      </c>
      <c r="I9" s="72">
        <v>0.05</v>
      </c>
      <c r="J9" s="72">
        <v>2.69</v>
      </c>
      <c r="K9" s="73">
        <v>2.2000000000000002</v>
      </c>
      <c r="L9" s="74">
        <v>0.43</v>
      </c>
      <c r="M9" s="1"/>
      <c r="N9" s="1"/>
    </row>
    <row r="10" spans="1:14" ht="28.5" customHeight="1" thickBot="1" x14ac:dyDescent="0.35">
      <c r="A10" s="1"/>
      <c r="B10" s="80"/>
      <c r="C10" s="81" t="s">
        <v>30</v>
      </c>
      <c r="D10" s="82">
        <f t="shared" ref="D10:L10" si="0">SUM(D6:D9)</f>
        <v>500</v>
      </c>
      <c r="E10" s="83">
        <f t="shared" si="0"/>
        <v>23.76</v>
      </c>
      <c r="F10" s="83">
        <f t="shared" si="0"/>
        <v>20.733333333333334</v>
      </c>
      <c r="G10" s="83">
        <f t="shared" si="0"/>
        <v>97.27266666666668</v>
      </c>
      <c r="H10" s="83">
        <f t="shared" si="0"/>
        <v>649.49666666666656</v>
      </c>
      <c r="I10" s="83">
        <f t="shared" si="0"/>
        <v>0.14333333333333337</v>
      </c>
      <c r="J10" s="83">
        <f t="shared" si="0"/>
        <v>317.35666666666668</v>
      </c>
      <c r="K10" s="83">
        <f t="shared" si="0"/>
        <v>68.106666666666669</v>
      </c>
      <c r="L10" s="83">
        <f t="shared" si="0"/>
        <v>5.003333333333333</v>
      </c>
      <c r="M10" s="1"/>
      <c r="N10" s="1"/>
    </row>
    <row r="11" spans="1:14" ht="29.25" customHeight="1" thickBot="1" x14ac:dyDescent="0.3">
      <c r="A11" s="1"/>
      <c r="B11" s="88" t="s">
        <v>1</v>
      </c>
      <c r="C11" s="89"/>
      <c r="D11" s="90"/>
      <c r="E11" s="89"/>
      <c r="F11" s="89"/>
      <c r="G11" s="89"/>
      <c r="H11" s="89"/>
      <c r="I11" s="89"/>
      <c r="J11" s="89"/>
      <c r="K11" s="89"/>
      <c r="L11" s="91"/>
      <c r="M11" s="1"/>
      <c r="N11" s="1"/>
    </row>
    <row r="12" spans="1:14" ht="22.5" customHeight="1" thickBot="1" x14ac:dyDescent="0.3">
      <c r="A12" s="1"/>
      <c r="B12" s="92" t="s">
        <v>80</v>
      </c>
      <c r="C12" s="93" t="s">
        <v>117</v>
      </c>
      <c r="D12" s="94">
        <v>100</v>
      </c>
      <c r="E12" s="95">
        <f>1*100/60</f>
        <v>1.6666666666666667</v>
      </c>
      <c r="F12" s="95">
        <f>6.1*100/60</f>
        <v>10.166666666666666</v>
      </c>
      <c r="G12" s="95">
        <f>5.8*100/60</f>
        <v>9.6666666666666661</v>
      </c>
      <c r="H12" s="95">
        <f>81.5*100/60</f>
        <v>135.83333333333334</v>
      </c>
      <c r="I12" s="77">
        <f>23.1*100/60</f>
        <v>38.5</v>
      </c>
      <c r="J12" s="96">
        <f>27*100/60</f>
        <v>45</v>
      </c>
      <c r="K12" s="78">
        <f>10*100/60</f>
        <v>16.666666666666668</v>
      </c>
      <c r="L12" s="97">
        <f>0.36*100/60</f>
        <v>0.6</v>
      </c>
      <c r="M12" s="1"/>
      <c r="N12" s="1"/>
    </row>
    <row r="13" spans="1:14" ht="22.5" customHeight="1" thickBot="1" x14ac:dyDescent="0.3">
      <c r="A13" s="1"/>
      <c r="B13" s="98" t="s">
        <v>19</v>
      </c>
      <c r="C13" s="99" t="s">
        <v>81</v>
      </c>
      <c r="D13" s="100">
        <v>250</v>
      </c>
      <c r="E13" s="101">
        <f>1.98*250/200</f>
        <v>2.4750000000000001</v>
      </c>
      <c r="F13" s="101">
        <f>3.51*250/200</f>
        <v>4.3875000000000002</v>
      </c>
      <c r="G13" s="101">
        <f>13.74*250/200</f>
        <v>17.175000000000001</v>
      </c>
      <c r="H13" s="74">
        <f>95.14*250/200</f>
        <v>118.925</v>
      </c>
      <c r="I13" s="78">
        <f>13.42*250/200</f>
        <v>16.774999999999999</v>
      </c>
      <c r="J13" s="86">
        <f>20.31*250/200</f>
        <v>25.387499999999999</v>
      </c>
      <c r="K13" s="78">
        <f>21.25*250/200</f>
        <v>26.5625</v>
      </c>
      <c r="L13" s="87">
        <f>0.8*250/200</f>
        <v>1</v>
      </c>
      <c r="M13" s="1"/>
      <c r="N13" s="1"/>
    </row>
    <row r="14" spans="1:14" ht="22.5" customHeight="1" thickBot="1" x14ac:dyDescent="0.3">
      <c r="A14" s="1"/>
      <c r="B14" s="102" t="s">
        <v>70</v>
      </c>
      <c r="C14" s="75" t="s">
        <v>104</v>
      </c>
      <c r="D14" s="76">
        <v>100</v>
      </c>
      <c r="E14" s="77">
        <f>11.8*100/90</f>
        <v>13.111111111111111</v>
      </c>
      <c r="F14" s="77">
        <f>6.1*100/90</f>
        <v>6.7777777777777777</v>
      </c>
      <c r="G14" s="77">
        <f>2.7*100/90</f>
        <v>3</v>
      </c>
      <c r="H14" s="95">
        <f>112.8*100/90</f>
        <v>125.33333333333333</v>
      </c>
      <c r="I14" s="74">
        <f>0.5*100/90</f>
        <v>0.55555555555555558</v>
      </c>
      <c r="J14" s="96">
        <f>25.9*100/90</f>
        <v>28.777777777777779</v>
      </c>
      <c r="K14" s="78">
        <f>22.6*100/90</f>
        <v>25.111111111111111</v>
      </c>
      <c r="L14" s="87">
        <v>0.7</v>
      </c>
      <c r="M14" s="1"/>
      <c r="N14" s="1"/>
    </row>
    <row r="15" spans="1:14" ht="22.5" customHeight="1" thickBot="1" x14ac:dyDescent="0.3">
      <c r="A15" s="1"/>
      <c r="B15" s="98" t="s">
        <v>18</v>
      </c>
      <c r="C15" s="99" t="s">
        <v>55</v>
      </c>
      <c r="D15" s="100">
        <v>180</v>
      </c>
      <c r="E15" s="101">
        <f>6.34*180/150</f>
        <v>7.6080000000000005</v>
      </c>
      <c r="F15" s="101">
        <f>4.91*180/150</f>
        <v>5.8920000000000003</v>
      </c>
      <c r="G15" s="101">
        <f>28.61*180/150</f>
        <v>34.332000000000001</v>
      </c>
      <c r="H15" s="74">
        <f>183.75*180/150</f>
        <v>220.5</v>
      </c>
      <c r="I15" s="77">
        <v>0</v>
      </c>
      <c r="J15" s="103">
        <f>12.55*180/150</f>
        <v>15.06</v>
      </c>
      <c r="K15" s="104">
        <f>100.11*180/150</f>
        <v>120.13199999999999</v>
      </c>
      <c r="L15" s="97">
        <f>3.37*180/150</f>
        <v>4.0440000000000005</v>
      </c>
      <c r="M15" s="1"/>
      <c r="N15" s="1"/>
    </row>
    <row r="16" spans="1:14" ht="22.5" customHeight="1" thickBot="1" x14ac:dyDescent="0.3">
      <c r="A16" s="1"/>
      <c r="B16" s="98" t="s">
        <v>27</v>
      </c>
      <c r="C16" s="99" t="s">
        <v>112</v>
      </c>
      <c r="D16" s="100">
        <v>180</v>
      </c>
      <c r="E16" s="101">
        <v>1.04</v>
      </c>
      <c r="F16" s="101">
        <v>0.27</v>
      </c>
      <c r="G16" s="101">
        <v>42.53</v>
      </c>
      <c r="H16" s="101">
        <v>176.74</v>
      </c>
      <c r="I16" s="77">
        <v>0.72</v>
      </c>
      <c r="J16" s="103">
        <v>5.26</v>
      </c>
      <c r="K16" s="104">
        <v>30.03</v>
      </c>
      <c r="L16" s="97">
        <v>0.86</v>
      </c>
      <c r="M16" s="1"/>
      <c r="N16" s="1"/>
    </row>
    <row r="17" spans="1:14" ht="22.5" customHeight="1" thickBot="1" x14ac:dyDescent="0.3">
      <c r="A17" s="1"/>
      <c r="B17" s="98" t="s">
        <v>14</v>
      </c>
      <c r="C17" s="99" t="s">
        <v>46</v>
      </c>
      <c r="D17" s="100">
        <v>40</v>
      </c>
      <c r="E17" s="101">
        <v>3.04</v>
      </c>
      <c r="F17" s="101">
        <v>0.32</v>
      </c>
      <c r="G17" s="101">
        <v>19.68</v>
      </c>
      <c r="H17" s="101">
        <v>94</v>
      </c>
      <c r="I17" s="77">
        <v>0</v>
      </c>
      <c r="J17" s="103">
        <v>9.1999999999999993</v>
      </c>
      <c r="K17" s="78">
        <v>13.2</v>
      </c>
      <c r="L17" s="87">
        <v>0.76</v>
      </c>
      <c r="M17" s="1"/>
      <c r="N17" s="1"/>
    </row>
    <row r="18" spans="1:14" ht="22.5" customHeight="1" thickBot="1" x14ac:dyDescent="0.3">
      <c r="A18" s="1"/>
      <c r="B18" s="69" t="s">
        <v>16</v>
      </c>
      <c r="C18" s="75" t="s">
        <v>47</v>
      </c>
      <c r="D18" s="76">
        <v>30</v>
      </c>
      <c r="E18" s="77">
        <v>1.98</v>
      </c>
      <c r="F18" s="77">
        <v>0.36</v>
      </c>
      <c r="G18" s="77">
        <v>10.02</v>
      </c>
      <c r="H18" s="101">
        <v>52.2</v>
      </c>
      <c r="I18" s="74">
        <v>0</v>
      </c>
      <c r="J18" s="96">
        <v>9.9</v>
      </c>
      <c r="K18" s="78">
        <v>17.100000000000001</v>
      </c>
      <c r="L18" s="74">
        <v>1.35</v>
      </c>
      <c r="M18" s="1"/>
      <c r="N18" s="1"/>
    </row>
    <row r="19" spans="1:14" ht="30.75" customHeight="1" thickBot="1" x14ac:dyDescent="0.35">
      <c r="A19" s="1"/>
      <c r="B19" s="105"/>
      <c r="C19" s="81" t="s">
        <v>2</v>
      </c>
      <c r="D19" s="106">
        <f t="shared" ref="D19:L19" si="1">SUM(D12:D18)</f>
        <v>880</v>
      </c>
      <c r="E19" s="107">
        <f t="shared" si="1"/>
        <v>30.920777777777776</v>
      </c>
      <c r="F19" s="107">
        <f t="shared" si="1"/>
        <v>28.173944444444444</v>
      </c>
      <c r="G19" s="107">
        <f>SUM(G12:G18)</f>
        <v>136.40366666666668</v>
      </c>
      <c r="H19" s="107">
        <f>SUM(H12:H18)</f>
        <v>923.53166666666675</v>
      </c>
      <c r="I19" s="108">
        <f t="shared" si="1"/>
        <v>56.550555555555555</v>
      </c>
      <c r="J19" s="109">
        <f t="shared" si="1"/>
        <v>138.5852777777778</v>
      </c>
      <c r="K19" s="83">
        <f t="shared" si="1"/>
        <v>248.80227777777776</v>
      </c>
      <c r="L19" s="110">
        <f t="shared" si="1"/>
        <v>9.3140000000000001</v>
      </c>
      <c r="M19" s="1"/>
      <c r="N19" s="1"/>
    </row>
    <row r="20" spans="1:14" ht="30.75" customHeight="1" thickBot="1" x14ac:dyDescent="0.35">
      <c r="A20" s="1"/>
      <c r="B20" s="111"/>
      <c r="C20" s="112" t="s">
        <v>3</v>
      </c>
      <c r="D20" s="113">
        <f>D19+D10</f>
        <v>1380</v>
      </c>
      <c r="E20" s="114">
        <f t="shared" ref="E20:L20" si="2">E19+E10</f>
        <v>54.680777777777777</v>
      </c>
      <c r="F20" s="114">
        <f t="shared" si="2"/>
        <v>48.907277777777779</v>
      </c>
      <c r="G20" s="114">
        <f t="shared" si="2"/>
        <v>233.67633333333336</v>
      </c>
      <c r="H20" s="114">
        <f t="shared" si="2"/>
        <v>1573.0283333333332</v>
      </c>
      <c r="I20" s="114">
        <f t="shared" si="2"/>
        <v>56.693888888888885</v>
      </c>
      <c r="J20" s="114">
        <f t="shared" si="2"/>
        <v>455.94194444444452</v>
      </c>
      <c r="K20" s="114">
        <f t="shared" si="2"/>
        <v>316.90894444444444</v>
      </c>
      <c r="L20" s="83">
        <f t="shared" si="2"/>
        <v>14.317333333333334</v>
      </c>
      <c r="M20" s="1"/>
      <c r="N20" s="1"/>
    </row>
    <row r="21" spans="1:14" ht="31.5" customHeight="1" thickBot="1" x14ac:dyDescent="0.3">
      <c r="A21" s="1"/>
      <c r="B21" s="18" t="s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66"/>
      <c r="M21" s="1"/>
      <c r="N21" s="1"/>
    </row>
    <row r="22" spans="1:14" ht="22.5" customHeight="1" thickBot="1" x14ac:dyDescent="0.3">
      <c r="A22" s="1"/>
      <c r="B22" s="195" t="s">
        <v>4</v>
      </c>
      <c r="C22" s="197" t="s">
        <v>0</v>
      </c>
      <c r="D22" s="197" t="s">
        <v>35</v>
      </c>
      <c r="E22" s="202" t="s">
        <v>12</v>
      </c>
      <c r="F22" s="203"/>
      <c r="G22" s="203"/>
      <c r="H22" s="204"/>
      <c r="I22" s="205" t="s">
        <v>40</v>
      </c>
      <c r="J22" s="199" t="s">
        <v>41</v>
      </c>
      <c r="K22" s="199" t="s">
        <v>42</v>
      </c>
      <c r="L22" s="199" t="s">
        <v>44</v>
      </c>
      <c r="M22" s="1"/>
      <c r="N22" s="1"/>
    </row>
    <row r="23" spans="1:14" ht="32.25" customHeight="1" thickBot="1" x14ac:dyDescent="0.3">
      <c r="A23" s="1"/>
      <c r="B23" s="196"/>
      <c r="C23" s="198"/>
      <c r="D23" s="198"/>
      <c r="E23" s="61" t="s">
        <v>36</v>
      </c>
      <c r="F23" s="61" t="s">
        <v>37</v>
      </c>
      <c r="G23" s="61" t="s">
        <v>38</v>
      </c>
      <c r="H23" s="61" t="s">
        <v>39</v>
      </c>
      <c r="I23" s="206"/>
      <c r="J23" s="200"/>
      <c r="K23" s="200"/>
      <c r="L23" s="200"/>
      <c r="M23" s="1"/>
      <c r="N23" s="1"/>
    </row>
    <row r="24" spans="1:14" ht="28.5" customHeight="1" thickBot="1" x14ac:dyDescent="0.3">
      <c r="A24" s="1"/>
      <c r="B24" s="13" t="s">
        <v>29</v>
      </c>
      <c r="C24" s="39"/>
      <c r="D24" s="39"/>
      <c r="E24" s="39"/>
      <c r="F24" s="39"/>
      <c r="G24" s="39"/>
      <c r="H24" s="39"/>
      <c r="I24" s="39"/>
      <c r="J24" s="39"/>
      <c r="K24" s="39"/>
      <c r="L24" s="63"/>
      <c r="M24" s="1"/>
      <c r="N24" s="1"/>
    </row>
    <row r="25" spans="1:14" ht="22.5" customHeight="1" thickBot="1" x14ac:dyDescent="0.3">
      <c r="A25" s="1"/>
      <c r="B25" s="69" t="s">
        <v>95</v>
      </c>
      <c r="C25" s="99" t="s">
        <v>48</v>
      </c>
      <c r="D25" s="100">
        <v>250</v>
      </c>
      <c r="E25" s="101">
        <v>15.8</v>
      </c>
      <c r="F25" s="101">
        <v>8.5</v>
      </c>
      <c r="G25" s="101">
        <v>39.5</v>
      </c>
      <c r="H25" s="101">
        <v>315.29000000000002</v>
      </c>
      <c r="I25" s="101">
        <v>1.62</v>
      </c>
      <c r="J25" s="101">
        <v>158.62</v>
      </c>
      <c r="K25" s="77">
        <v>45.44</v>
      </c>
      <c r="L25" s="77">
        <v>0.73</v>
      </c>
      <c r="M25" s="1"/>
      <c r="N25" s="1"/>
    </row>
    <row r="26" spans="1:14" ht="22.5" customHeight="1" thickBot="1" x14ac:dyDescent="0.3">
      <c r="A26" s="1"/>
      <c r="B26" s="69" t="s">
        <v>14</v>
      </c>
      <c r="C26" s="99" t="s">
        <v>46</v>
      </c>
      <c r="D26" s="100">
        <v>50</v>
      </c>
      <c r="E26" s="101">
        <v>3.8</v>
      </c>
      <c r="F26" s="101">
        <v>0.4</v>
      </c>
      <c r="G26" s="101">
        <v>24.6</v>
      </c>
      <c r="H26" s="101">
        <v>117.5</v>
      </c>
      <c r="I26" s="101">
        <v>0</v>
      </c>
      <c r="J26" s="101">
        <v>11.5</v>
      </c>
      <c r="K26" s="74">
        <v>16.5</v>
      </c>
      <c r="L26" s="74">
        <v>0.95</v>
      </c>
      <c r="M26" s="1"/>
      <c r="N26" s="1"/>
    </row>
    <row r="27" spans="1:14" ht="22.5" customHeight="1" thickBot="1" x14ac:dyDescent="0.3">
      <c r="A27" s="1"/>
      <c r="B27" s="69" t="s">
        <v>16</v>
      </c>
      <c r="C27" s="99" t="s">
        <v>47</v>
      </c>
      <c r="D27" s="100">
        <v>50</v>
      </c>
      <c r="E27" s="101">
        <v>3.3</v>
      </c>
      <c r="F27" s="101">
        <v>0.6</v>
      </c>
      <c r="G27" s="101">
        <v>16.7</v>
      </c>
      <c r="H27" s="101">
        <v>87</v>
      </c>
      <c r="I27" s="101">
        <v>0</v>
      </c>
      <c r="J27" s="101">
        <v>16.5</v>
      </c>
      <c r="K27" s="74">
        <v>28.5</v>
      </c>
      <c r="L27" s="74">
        <v>2.25</v>
      </c>
      <c r="M27" s="1"/>
      <c r="N27" s="1"/>
    </row>
    <row r="28" spans="1:14" ht="22.5" customHeight="1" thickBot="1" x14ac:dyDescent="0.3">
      <c r="A28" s="1"/>
      <c r="B28" s="69" t="s">
        <v>13</v>
      </c>
      <c r="C28" s="99" t="s">
        <v>49</v>
      </c>
      <c r="D28" s="100">
        <v>200</v>
      </c>
      <c r="E28" s="101">
        <v>0</v>
      </c>
      <c r="F28" s="101">
        <v>0</v>
      </c>
      <c r="G28" s="101">
        <v>6.9860000000000007</v>
      </c>
      <c r="H28" s="101">
        <v>27.93</v>
      </c>
      <c r="I28" s="101">
        <v>0.05</v>
      </c>
      <c r="J28" s="101">
        <v>2.69</v>
      </c>
      <c r="K28" s="78">
        <v>2.2000000000000002</v>
      </c>
      <c r="L28" s="74">
        <v>0.43</v>
      </c>
      <c r="M28" s="1"/>
      <c r="N28" s="1"/>
    </row>
    <row r="29" spans="1:14" ht="34.5" customHeight="1" thickBot="1" x14ac:dyDescent="0.35">
      <c r="A29" s="1"/>
      <c r="B29" s="115"/>
      <c r="C29" s="81" t="s">
        <v>30</v>
      </c>
      <c r="D29" s="106">
        <f t="shared" ref="D29:L29" si="3">SUM(D25:D28)</f>
        <v>550</v>
      </c>
      <c r="E29" s="107">
        <f t="shared" si="3"/>
        <v>22.900000000000002</v>
      </c>
      <c r="F29" s="107">
        <f t="shared" si="3"/>
        <v>9.5</v>
      </c>
      <c r="G29" s="107">
        <f t="shared" si="3"/>
        <v>87.786000000000001</v>
      </c>
      <c r="H29" s="107">
        <f t="shared" si="3"/>
        <v>547.71999999999991</v>
      </c>
      <c r="I29" s="107">
        <f t="shared" si="3"/>
        <v>1.6700000000000002</v>
      </c>
      <c r="J29" s="107">
        <f t="shared" si="3"/>
        <v>189.31</v>
      </c>
      <c r="K29" s="107">
        <f t="shared" si="3"/>
        <v>92.64</v>
      </c>
      <c r="L29" s="83">
        <f t="shared" si="3"/>
        <v>4.3599999999999994</v>
      </c>
      <c r="M29" s="44"/>
      <c r="N29" s="1"/>
    </row>
    <row r="30" spans="1:14" ht="30.75" customHeight="1" thickBot="1" x14ac:dyDescent="0.3">
      <c r="A30" s="1"/>
      <c r="B30" s="88" t="s">
        <v>1</v>
      </c>
      <c r="C30" s="89"/>
      <c r="D30" s="90"/>
      <c r="E30" s="89"/>
      <c r="F30" s="89"/>
      <c r="G30" s="89"/>
      <c r="H30" s="89"/>
      <c r="I30" s="89"/>
      <c r="J30" s="89"/>
      <c r="K30" s="89"/>
      <c r="L30" s="91"/>
      <c r="M30" s="1"/>
      <c r="N30" s="1"/>
    </row>
    <row r="31" spans="1:14" ht="22.5" customHeight="1" thickBot="1" x14ac:dyDescent="0.3">
      <c r="A31" s="1"/>
      <c r="B31" s="116" t="s">
        <v>118</v>
      </c>
      <c r="C31" s="117" t="s">
        <v>119</v>
      </c>
      <c r="D31" s="100">
        <v>100</v>
      </c>
      <c r="E31" s="95">
        <f>1.17*100/60</f>
        <v>1.95</v>
      </c>
      <c r="F31" s="95">
        <f>5.06*100/60</f>
        <v>8.4333333333333318</v>
      </c>
      <c r="G31" s="95">
        <f>6.94*100/60</f>
        <v>11.566666666666666</v>
      </c>
      <c r="H31" s="95">
        <f>8.05*100/60</f>
        <v>13.416666666666668</v>
      </c>
      <c r="I31" s="77">
        <f>8.76*100/60</f>
        <v>14.6</v>
      </c>
      <c r="J31" s="118">
        <f>22.55*100/60</f>
        <v>37.583333333333336</v>
      </c>
      <c r="K31" s="104">
        <f>15.1*100/60</f>
        <v>25.166666666666668</v>
      </c>
      <c r="L31" s="77">
        <f>0.9*100/60</f>
        <v>1.5</v>
      </c>
      <c r="M31" s="1"/>
      <c r="N31" s="1"/>
    </row>
    <row r="32" spans="1:14" ht="22.5" customHeight="1" thickBot="1" x14ac:dyDescent="0.3">
      <c r="A32" s="1"/>
      <c r="B32" s="119" t="s">
        <v>15</v>
      </c>
      <c r="C32" s="99" t="s">
        <v>54</v>
      </c>
      <c r="D32" s="100">
        <v>250</v>
      </c>
      <c r="E32" s="101">
        <v>5.87</v>
      </c>
      <c r="F32" s="101">
        <v>5.55</v>
      </c>
      <c r="G32" s="101">
        <v>19.27</v>
      </c>
      <c r="H32" s="101">
        <v>150.85</v>
      </c>
      <c r="I32" s="77">
        <v>11.5</v>
      </c>
      <c r="J32" s="103">
        <v>61.25</v>
      </c>
      <c r="K32" s="73">
        <v>38.26</v>
      </c>
      <c r="L32" s="74">
        <v>2.5</v>
      </c>
      <c r="M32" s="1"/>
      <c r="N32" s="1"/>
    </row>
    <row r="33" spans="1:14" ht="22.5" customHeight="1" thickBot="1" x14ac:dyDescent="0.3">
      <c r="A33" s="1"/>
      <c r="B33" s="69" t="s">
        <v>70</v>
      </c>
      <c r="C33" s="99" t="s">
        <v>72</v>
      </c>
      <c r="D33" s="100">
        <v>100</v>
      </c>
      <c r="E33" s="101">
        <f>18.34+0.25</f>
        <v>18.59</v>
      </c>
      <c r="F33" s="101">
        <f>10.5+0.88</f>
        <v>11.38</v>
      </c>
      <c r="G33" s="101">
        <f>13.6+1.57</f>
        <v>15.17</v>
      </c>
      <c r="H33" s="74">
        <f>15.25+159.65</f>
        <v>174.9</v>
      </c>
      <c r="I33" s="74">
        <v>1.21</v>
      </c>
      <c r="J33" s="120">
        <v>1.25</v>
      </c>
      <c r="K33" s="78">
        <v>2.04</v>
      </c>
      <c r="L33" s="74">
        <v>0.08</v>
      </c>
      <c r="M33" s="1"/>
      <c r="N33" s="1"/>
    </row>
    <row r="34" spans="1:14" ht="22.5" customHeight="1" thickBot="1" x14ac:dyDescent="0.3">
      <c r="A34" s="1"/>
      <c r="B34" s="98" t="s">
        <v>28</v>
      </c>
      <c r="C34" s="99" t="s">
        <v>105</v>
      </c>
      <c r="D34" s="100">
        <v>180</v>
      </c>
      <c r="E34" s="101">
        <f>3.25*180/150</f>
        <v>3.9</v>
      </c>
      <c r="F34" s="101">
        <f>4.34*180/150</f>
        <v>5.2079999999999993</v>
      </c>
      <c r="G34" s="101">
        <f>22.05*180/150</f>
        <v>26.46</v>
      </c>
      <c r="H34" s="95">
        <f>140.69*180/150</f>
        <v>168.828</v>
      </c>
      <c r="I34" s="74">
        <f>25.95*180/150</f>
        <v>31.14</v>
      </c>
      <c r="J34" s="96">
        <f>46.43*180/150</f>
        <v>55.716000000000001</v>
      </c>
      <c r="K34" s="78">
        <f>33.01*180/150</f>
        <v>39.611999999999995</v>
      </c>
      <c r="L34" s="74">
        <f>1.23*180/150</f>
        <v>1.476</v>
      </c>
      <c r="M34" s="1"/>
      <c r="N34" s="1"/>
    </row>
    <row r="35" spans="1:14" ht="22.5" customHeight="1" thickBot="1" x14ac:dyDescent="0.3">
      <c r="A35" s="1"/>
      <c r="B35" s="98" t="s">
        <v>14</v>
      </c>
      <c r="C35" s="99" t="s">
        <v>46</v>
      </c>
      <c r="D35" s="100">
        <v>40</v>
      </c>
      <c r="E35" s="101">
        <v>3.04</v>
      </c>
      <c r="F35" s="101">
        <v>0.32</v>
      </c>
      <c r="G35" s="101">
        <v>19.68</v>
      </c>
      <c r="H35" s="101">
        <v>94</v>
      </c>
      <c r="I35" s="78">
        <v>0</v>
      </c>
      <c r="J35" s="86">
        <v>9.1999999999999993</v>
      </c>
      <c r="K35" s="78">
        <v>13.2</v>
      </c>
      <c r="L35" s="78">
        <v>0.76</v>
      </c>
      <c r="M35" s="1"/>
      <c r="N35" s="1"/>
    </row>
    <row r="36" spans="1:14" ht="22.5" customHeight="1" thickBot="1" x14ac:dyDescent="0.3">
      <c r="A36" s="1"/>
      <c r="B36" s="69" t="s">
        <v>16</v>
      </c>
      <c r="C36" s="75" t="s">
        <v>47</v>
      </c>
      <c r="D36" s="76">
        <v>20</v>
      </c>
      <c r="E36" s="77">
        <v>1.32</v>
      </c>
      <c r="F36" s="77">
        <v>0.24</v>
      </c>
      <c r="G36" s="77">
        <v>6.68</v>
      </c>
      <c r="H36" s="101">
        <v>34.799999999999997</v>
      </c>
      <c r="I36" s="74">
        <v>0</v>
      </c>
      <c r="J36" s="96">
        <v>6.6</v>
      </c>
      <c r="K36" s="78">
        <v>11.4</v>
      </c>
      <c r="L36" s="74">
        <v>0.9</v>
      </c>
      <c r="M36" s="1"/>
      <c r="N36" s="1"/>
    </row>
    <row r="37" spans="1:14" ht="22.5" customHeight="1" thickBot="1" x14ac:dyDescent="0.3">
      <c r="A37" s="1"/>
      <c r="B37" s="69" t="s">
        <v>106</v>
      </c>
      <c r="C37" s="75" t="s">
        <v>107</v>
      </c>
      <c r="D37" s="76">
        <v>180</v>
      </c>
      <c r="E37" s="77">
        <v>0.46</v>
      </c>
      <c r="F37" s="77">
        <v>0.19</v>
      </c>
      <c r="G37" s="77">
        <v>9.2200000000000006</v>
      </c>
      <c r="H37" s="101">
        <v>49.11</v>
      </c>
      <c r="I37" s="74">
        <v>135</v>
      </c>
      <c r="J37" s="96">
        <v>8.18</v>
      </c>
      <c r="K37" s="78">
        <v>2.2999999999999998</v>
      </c>
      <c r="L37" s="74">
        <v>0.41</v>
      </c>
      <c r="M37" s="1"/>
      <c r="N37" s="1"/>
    </row>
    <row r="38" spans="1:14" ht="27.75" customHeight="1" thickBot="1" x14ac:dyDescent="0.35">
      <c r="A38" s="1"/>
      <c r="B38" s="102"/>
      <c r="C38" s="121" t="s">
        <v>2</v>
      </c>
      <c r="D38" s="122">
        <f t="shared" ref="D38:L38" si="4">SUM(D31:D37)</f>
        <v>870</v>
      </c>
      <c r="E38" s="123">
        <f t="shared" si="4"/>
        <v>35.130000000000003</v>
      </c>
      <c r="F38" s="123">
        <f t="shared" si="4"/>
        <v>31.321333333333328</v>
      </c>
      <c r="G38" s="123">
        <f t="shared" si="4"/>
        <v>108.04666666666668</v>
      </c>
      <c r="H38" s="123">
        <f t="shared" si="4"/>
        <v>685.90466666666657</v>
      </c>
      <c r="I38" s="123">
        <f t="shared" si="4"/>
        <v>193.45</v>
      </c>
      <c r="J38" s="123">
        <f t="shared" si="4"/>
        <v>179.77933333333334</v>
      </c>
      <c r="K38" s="123">
        <f t="shared" si="4"/>
        <v>131.97866666666667</v>
      </c>
      <c r="L38" s="123">
        <f t="shared" si="4"/>
        <v>7.6260000000000003</v>
      </c>
      <c r="M38" s="1"/>
      <c r="N38" s="1"/>
    </row>
    <row r="39" spans="1:14" ht="43.5" customHeight="1" thickBot="1" x14ac:dyDescent="0.3">
      <c r="A39" s="1"/>
      <c r="B39" s="8"/>
      <c r="C39" s="46" t="s">
        <v>3</v>
      </c>
      <c r="D39" s="64">
        <f t="shared" ref="D39:L39" si="5">D38+D29</f>
        <v>1420</v>
      </c>
      <c r="E39" s="65">
        <f t="shared" si="5"/>
        <v>58.03</v>
      </c>
      <c r="F39" s="65">
        <f t="shared" si="5"/>
        <v>40.821333333333328</v>
      </c>
      <c r="G39" s="65">
        <f t="shared" si="5"/>
        <v>195.83266666666668</v>
      </c>
      <c r="H39" s="65">
        <f t="shared" si="5"/>
        <v>1233.6246666666666</v>
      </c>
      <c r="I39" s="65">
        <f t="shared" si="5"/>
        <v>195.11999999999998</v>
      </c>
      <c r="J39" s="65">
        <f t="shared" si="5"/>
        <v>369.08933333333334</v>
      </c>
      <c r="K39" s="65">
        <f t="shared" si="5"/>
        <v>224.61866666666668</v>
      </c>
      <c r="L39" s="62">
        <f t="shared" si="5"/>
        <v>11.986000000000001</v>
      </c>
      <c r="M39" s="1"/>
      <c r="N39" s="1"/>
    </row>
    <row r="40" spans="1:14" ht="29.25" customHeight="1" thickBot="1" x14ac:dyDescent="0.3">
      <c r="A40" s="1"/>
      <c r="B40" s="18" t="s">
        <v>7</v>
      </c>
      <c r="C40" s="48"/>
      <c r="D40" s="48"/>
      <c r="E40" s="48"/>
      <c r="F40" s="48"/>
      <c r="G40" s="48"/>
      <c r="H40" s="48"/>
      <c r="I40" s="48"/>
      <c r="J40" s="48"/>
      <c r="K40" s="48"/>
      <c r="L40" s="66"/>
      <c r="M40" s="1"/>
      <c r="N40" s="1"/>
    </row>
    <row r="41" spans="1:14" ht="22.5" customHeight="1" thickBot="1" x14ac:dyDescent="0.3">
      <c r="A41" s="1"/>
      <c r="B41" s="195" t="s">
        <v>4</v>
      </c>
      <c r="C41" s="197" t="s">
        <v>0</v>
      </c>
      <c r="D41" s="197" t="s">
        <v>35</v>
      </c>
      <c r="E41" s="202" t="s">
        <v>12</v>
      </c>
      <c r="F41" s="203"/>
      <c r="G41" s="203"/>
      <c r="H41" s="204"/>
      <c r="I41" s="205" t="s">
        <v>40</v>
      </c>
      <c r="J41" s="199" t="s">
        <v>41</v>
      </c>
      <c r="K41" s="199" t="s">
        <v>42</v>
      </c>
      <c r="L41" s="199" t="s">
        <v>44</v>
      </c>
      <c r="M41" s="1"/>
      <c r="N41" s="1"/>
    </row>
    <row r="42" spans="1:14" ht="36.75" customHeight="1" thickBot="1" x14ac:dyDescent="0.3">
      <c r="A42" s="1"/>
      <c r="B42" s="196"/>
      <c r="C42" s="198"/>
      <c r="D42" s="198"/>
      <c r="E42" s="61" t="s">
        <v>36</v>
      </c>
      <c r="F42" s="61" t="s">
        <v>37</v>
      </c>
      <c r="G42" s="61" t="s">
        <v>38</v>
      </c>
      <c r="H42" s="61" t="s">
        <v>39</v>
      </c>
      <c r="I42" s="206"/>
      <c r="J42" s="200"/>
      <c r="K42" s="200"/>
      <c r="L42" s="200"/>
      <c r="M42" s="1"/>
      <c r="N42" s="1"/>
    </row>
    <row r="43" spans="1:14" ht="22.5" customHeight="1" thickBot="1" x14ac:dyDescent="0.3">
      <c r="A43" s="1"/>
      <c r="B43" s="13" t="s">
        <v>29</v>
      </c>
      <c r="C43" s="39"/>
      <c r="D43" s="39"/>
      <c r="E43" s="39"/>
      <c r="F43" s="39"/>
      <c r="G43" s="39"/>
      <c r="H43" s="39"/>
      <c r="I43" s="39"/>
      <c r="J43" s="39"/>
      <c r="K43" s="39"/>
      <c r="L43" s="63"/>
      <c r="M43" s="1"/>
      <c r="N43" s="1"/>
    </row>
    <row r="44" spans="1:14" ht="25.5" customHeight="1" thickBot="1" x14ac:dyDescent="0.3">
      <c r="A44" s="1"/>
      <c r="B44" s="92" t="s">
        <v>87</v>
      </c>
      <c r="C44" s="93" t="s">
        <v>59</v>
      </c>
      <c r="D44" s="94">
        <v>250</v>
      </c>
      <c r="E44" s="101">
        <v>6.94</v>
      </c>
      <c r="F44" s="101">
        <v>12.18</v>
      </c>
      <c r="G44" s="101">
        <v>48.13</v>
      </c>
      <c r="H44" s="101">
        <v>330.68</v>
      </c>
      <c r="I44" s="101">
        <v>1.32</v>
      </c>
      <c r="J44" s="74">
        <v>152.35</v>
      </c>
      <c r="K44" s="124">
        <v>23.06</v>
      </c>
      <c r="L44" s="74">
        <v>0.56000000000000005</v>
      </c>
      <c r="M44" s="1"/>
      <c r="N44" s="1"/>
    </row>
    <row r="45" spans="1:14" ht="25.5" customHeight="1" thickBot="1" x14ac:dyDescent="0.3">
      <c r="A45" s="1"/>
      <c r="B45" s="69" t="s">
        <v>88</v>
      </c>
      <c r="C45" s="70" t="s">
        <v>89</v>
      </c>
      <c r="D45" s="71">
        <v>50</v>
      </c>
      <c r="E45" s="72">
        <v>5.08</v>
      </c>
      <c r="F45" s="72">
        <v>4.5999999999999996</v>
      </c>
      <c r="G45" s="72">
        <v>0.28000000000000003</v>
      </c>
      <c r="H45" s="72">
        <v>63</v>
      </c>
      <c r="I45" s="72">
        <v>0.04</v>
      </c>
      <c r="J45" s="72">
        <v>27.5</v>
      </c>
      <c r="K45" s="73">
        <v>6</v>
      </c>
      <c r="L45" s="74">
        <v>1.25</v>
      </c>
      <c r="M45" s="1"/>
      <c r="N45" s="1"/>
    </row>
    <row r="46" spans="1:14" ht="24.75" customHeight="1" thickBot="1" x14ac:dyDescent="0.3">
      <c r="A46" s="1"/>
      <c r="B46" s="69" t="s">
        <v>14</v>
      </c>
      <c r="C46" s="99" t="s">
        <v>46</v>
      </c>
      <c r="D46" s="71">
        <v>30</v>
      </c>
      <c r="E46" s="72">
        <v>2.2799999999999998</v>
      </c>
      <c r="F46" s="72">
        <v>0.24</v>
      </c>
      <c r="G46" s="72">
        <v>14.76</v>
      </c>
      <c r="H46" s="72">
        <v>70.5</v>
      </c>
      <c r="I46" s="72">
        <v>0</v>
      </c>
      <c r="J46" s="72">
        <v>6.9</v>
      </c>
      <c r="K46" s="73">
        <v>9.9</v>
      </c>
      <c r="L46" s="74">
        <v>0.56999999999999995</v>
      </c>
      <c r="M46" s="1"/>
      <c r="N46" s="1"/>
    </row>
    <row r="47" spans="1:14" ht="27.75" customHeight="1" thickBot="1" x14ac:dyDescent="0.3">
      <c r="A47" s="1"/>
      <c r="B47" s="69" t="s">
        <v>16</v>
      </c>
      <c r="C47" s="99" t="s">
        <v>47</v>
      </c>
      <c r="D47" s="76">
        <v>30</v>
      </c>
      <c r="E47" s="77">
        <v>1.98</v>
      </c>
      <c r="F47" s="77">
        <v>0.36</v>
      </c>
      <c r="G47" s="77">
        <v>10.02</v>
      </c>
      <c r="H47" s="101">
        <v>52.2</v>
      </c>
      <c r="I47" s="74">
        <v>0</v>
      </c>
      <c r="J47" s="96">
        <v>9.9</v>
      </c>
      <c r="K47" s="78">
        <v>17.100000000000001</v>
      </c>
      <c r="L47" s="74">
        <v>1.35</v>
      </c>
      <c r="M47" s="1"/>
      <c r="N47" s="1"/>
    </row>
    <row r="48" spans="1:14" ht="25.5" customHeight="1" thickBot="1" x14ac:dyDescent="0.3">
      <c r="A48" s="1"/>
      <c r="B48" s="69" t="s">
        <v>13</v>
      </c>
      <c r="C48" s="79" t="s">
        <v>49</v>
      </c>
      <c r="D48" s="71">
        <v>200</v>
      </c>
      <c r="E48" s="72">
        <v>0</v>
      </c>
      <c r="F48" s="72">
        <v>0</v>
      </c>
      <c r="G48" s="72">
        <v>6.9860000000000007</v>
      </c>
      <c r="H48" s="72">
        <v>27.93</v>
      </c>
      <c r="I48" s="72">
        <v>0.05</v>
      </c>
      <c r="J48" s="72">
        <v>2.69</v>
      </c>
      <c r="K48" s="73">
        <v>2.2000000000000002</v>
      </c>
      <c r="L48" s="74">
        <v>0.43</v>
      </c>
      <c r="M48" s="1"/>
      <c r="N48" s="1"/>
    </row>
    <row r="49" spans="1:14" ht="31.5" customHeight="1" thickBot="1" x14ac:dyDescent="0.35">
      <c r="A49" s="1"/>
      <c r="B49" s="125"/>
      <c r="C49" s="126" t="s">
        <v>30</v>
      </c>
      <c r="D49" s="82">
        <f t="shared" ref="D49:L49" si="6">SUM(D44:D48)</f>
        <v>560</v>
      </c>
      <c r="E49" s="83">
        <f t="shared" si="6"/>
        <v>16.279999999999998</v>
      </c>
      <c r="F49" s="83">
        <f t="shared" si="6"/>
        <v>17.38</v>
      </c>
      <c r="G49" s="83">
        <f t="shared" si="6"/>
        <v>80.176000000000002</v>
      </c>
      <c r="H49" s="83">
        <f t="shared" si="6"/>
        <v>544.30999999999995</v>
      </c>
      <c r="I49" s="83">
        <f t="shared" si="6"/>
        <v>1.4100000000000001</v>
      </c>
      <c r="J49" s="83">
        <f t="shared" si="6"/>
        <v>199.34</v>
      </c>
      <c r="K49" s="83">
        <f t="shared" si="6"/>
        <v>58.260000000000005</v>
      </c>
      <c r="L49" s="83">
        <f t="shared" si="6"/>
        <v>4.16</v>
      </c>
      <c r="M49" s="1"/>
      <c r="N49" s="1"/>
    </row>
    <row r="50" spans="1:14" ht="27.75" customHeight="1" thickBot="1" x14ac:dyDescent="0.3">
      <c r="A50" s="1"/>
      <c r="B50" s="88" t="s">
        <v>1</v>
      </c>
      <c r="C50" s="89"/>
      <c r="D50" s="90"/>
      <c r="E50" s="89"/>
      <c r="F50" s="89"/>
      <c r="G50" s="89"/>
      <c r="H50" s="89"/>
      <c r="I50" s="89"/>
      <c r="J50" s="89"/>
      <c r="K50" s="89"/>
      <c r="L50" s="91"/>
      <c r="M50" s="1"/>
      <c r="N50" s="1"/>
    </row>
    <row r="51" spans="1:14" ht="27" customHeight="1" thickBot="1" x14ac:dyDescent="0.3">
      <c r="A51" s="1"/>
      <c r="B51" s="69" t="s">
        <v>97</v>
      </c>
      <c r="C51" s="70" t="s">
        <v>129</v>
      </c>
      <c r="D51" s="71">
        <v>100</v>
      </c>
      <c r="E51" s="72">
        <f>0.66*100/60</f>
        <v>1.1000000000000001</v>
      </c>
      <c r="F51" s="72">
        <f>0.12*100/60</f>
        <v>0.2</v>
      </c>
      <c r="G51" s="72">
        <f>2.28*100/60</f>
        <v>3.7999999999999994</v>
      </c>
      <c r="H51" s="72">
        <f>13.2*100/60</f>
        <v>22</v>
      </c>
      <c r="I51" s="74">
        <f>10.5*100/60</f>
        <v>17.5</v>
      </c>
      <c r="J51" s="120">
        <f>8.4*100/60</f>
        <v>14</v>
      </c>
      <c r="K51" s="78">
        <f>12*100/60</f>
        <v>20</v>
      </c>
      <c r="L51" s="74">
        <f>0.51*100/60</f>
        <v>0.85</v>
      </c>
      <c r="M51" s="1"/>
      <c r="N51" s="1"/>
    </row>
    <row r="52" spans="1:14" ht="27" customHeight="1" thickBot="1" x14ac:dyDescent="0.3">
      <c r="A52" s="1"/>
      <c r="B52" s="98" t="s">
        <v>78</v>
      </c>
      <c r="C52" s="99" t="s">
        <v>56</v>
      </c>
      <c r="D52" s="100">
        <v>250</v>
      </c>
      <c r="E52" s="101">
        <v>1.8</v>
      </c>
      <c r="F52" s="101">
        <v>4.9249999999999998</v>
      </c>
      <c r="G52" s="101">
        <v>10.9375</v>
      </c>
      <c r="H52" s="101">
        <v>103.75</v>
      </c>
      <c r="I52" s="77">
        <v>19.987500000000001</v>
      </c>
      <c r="J52" s="103">
        <v>62.85</v>
      </c>
      <c r="K52" s="78">
        <v>24.65</v>
      </c>
      <c r="L52" s="74">
        <v>1.1125</v>
      </c>
      <c r="M52" s="1"/>
      <c r="N52" s="1"/>
    </row>
    <row r="53" spans="1:14" ht="28.5" customHeight="1" thickBot="1" x14ac:dyDescent="0.3">
      <c r="A53" s="1"/>
      <c r="B53" s="102" t="s">
        <v>65</v>
      </c>
      <c r="C53" s="75" t="s">
        <v>52</v>
      </c>
      <c r="D53" s="76">
        <v>250</v>
      </c>
      <c r="E53" s="77">
        <v>24.42</v>
      </c>
      <c r="F53" s="77">
        <v>8.1840000000000011</v>
      </c>
      <c r="G53" s="77">
        <v>45.06</v>
      </c>
      <c r="H53" s="74">
        <v>351.80400000000003</v>
      </c>
      <c r="I53" s="74">
        <v>5.0039999999999996</v>
      </c>
      <c r="J53" s="96">
        <v>26.64</v>
      </c>
      <c r="K53" s="78">
        <v>110.748</v>
      </c>
      <c r="L53" s="74">
        <v>2.1360000000000001</v>
      </c>
      <c r="M53" s="1"/>
      <c r="N53" s="1"/>
    </row>
    <row r="54" spans="1:14" ht="28.5" customHeight="1" thickBot="1" x14ac:dyDescent="0.3">
      <c r="A54" s="1"/>
      <c r="B54" s="98" t="s">
        <v>14</v>
      </c>
      <c r="C54" s="99" t="s">
        <v>46</v>
      </c>
      <c r="D54" s="100">
        <v>40</v>
      </c>
      <c r="E54" s="101">
        <v>3.04</v>
      </c>
      <c r="F54" s="101">
        <v>0.32</v>
      </c>
      <c r="G54" s="101">
        <v>19.68</v>
      </c>
      <c r="H54" s="101">
        <v>94</v>
      </c>
      <c r="I54" s="77">
        <v>0</v>
      </c>
      <c r="J54" s="103">
        <v>9.1999999999999993</v>
      </c>
      <c r="K54" s="78">
        <v>13.2</v>
      </c>
      <c r="L54" s="87">
        <v>0.76</v>
      </c>
      <c r="M54" s="1"/>
      <c r="N54" s="1"/>
    </row>
    <row r="55" spans="1:14" ht="28.5" customHeight="1" thickBot="1" x14ac:dyDescent="0.3">
      <c r="A55" s="1"/>
      <c r="B55" s="69" t="s">
        <v>16</v>
      </c>
      <c r="C55" s="75" t="s">
        <v>47</v>
      </c>
      <c r="D55" s="76">
        <v>30</v>
      </c>
      <c r="E55" s="77">
        <v>1.98</v>
      </c>
      <c r="F55" s="77">
        <v>0.36</v>
      </c>
      <c r="G55" s="77">
        <v>10.02</v>
      </c>
      <c r="H55" s="101">
        <v>52.2</v>
      </c>
      <c r="I55" s="74">
        <v>0</v>
      </c>
      <c r="J55" s="96">
        <v>9.9</v>
      </c>
      <c r="K55" s="78">
        <v>17.100000000000001</v>
      </c>
      <c r="L55" s="74">
        <v>1.35</v>
      </c>
      <c r="M55" s="1"/>
      <c r="N55" s="1"/>
    </row>
    <row r="56" spans="1:14" ht="30.75" customHeight="1" thickBot="1" x14ac:dyDescent="0.3">
      <c r="A56" s="1"/>
      <c r="B56" s="98" t="s">
        <v>13</v>
      </c>
      <c r="C56" s="99" t="s">
        <v>49</v>
      </c>
      <c r="D56" s="100">
        <v>180</v>
      </c>
      <c r="E56" s="101">
        <v>0</v>
      </c>
      <c r="F56" s="101">
        <v>0</v>
      </c>
      <c r="G56" s="101">
        <v>6.29</v>
      </c>
      <c r="H56" s="101">
        <v>25.14</v>
      </c>
      <c r="I56" s="77">
        <v>0.05</v>
      </c>
      <c r="J56" s="103">
        <v>2.42</v>
      </c>
      <c r="K56" s="104">
        <v>1.98</v>
      </c>
      <c r="L56" s="97">
        <v>0.39</v>
      </c>
      <c r="M56" s="1"/>
      <c r="N56" s="1"/>
    </row>
    <row r="57" spans="1:14" ht="29.25" customHeight="1" thickBot="1" x14ac:dyDescent="0.35">
      <c r="A57" s="1"/>
      <c r="B57" s="98"/>
      <c r="C57" s="127" t="s">
        <v>2</v>
      </c>
      <c r="D57" s="128">
        <f t="shared" ref="D57:L57" si="7">SUM(D51:D56)</f>
        <v>850</v>
      </c>
      <c r="E57" s="107">
        <f t="shared" si="7"/>
        <v>32.339999999999996</v>
      </c>
      <c r="F57" s="107">
        <f t="shared" si="7"/>
        <v>13.989000000000001</v>
      </c>
      <c r="G57" s="107">
        <f t="shared" si="7"/>
        <v>95.787499999999994</v>
      </c>
      <c r="H57" s="107">
        <f t="shared" si="7"/>
        <v>648.89400000000012</v>
      </c>
      <c r="I57" s="83">
        <f t="shared" si="7"/>
        <v>42.541499999999992</v>
      </c>
      <c r="J57" s="109">
        <f t="shared" si="7"/>
        <v>125.01</v>
      </c>
      <c r="K57" s="83">
        <f t="shared" si="7"/>
        <v>187.67799999999997</v>
      </c>
      <c r="L57" s="83">
        <f t="shared" si="7"/>
        <v>6.5984999999999987</v>
      </c>
      <c r="M57" s="1"/>
      <c r="N57" s="1"/>
    </row>
    <row r="58" spans="1:14" ht="34.5" customHeight="1" thickBot="1" x14ac:dyDescent="0.35">
      <c r="A58" s="1"/>
      <c r="B58" s="69"/>
      <c r="C58" s="81" t="s">
        <v>3</v>
      </c>
      <c r="D58" s="106">
        <f t="shared" ref="D58:L58" si="8">D57+D49</f>
        <v>1410</v>
      </c>
      <c r="E58" s="107">
        <f t="shared" si="8"/>
        <v>48.61999999999999</v>
      </c>
      <c r="F58" s="107">
        <f t="shared" si="8"/>
        <v>31.369</v>
      </c>
      <c r="G58" s="107">
        <f t="shared" si="8"/>
        <v>175.96350000000001</v>
      </c>
      <c r="H58" s="107">
        <f t="shared" si="8"/>
        <v>1193.2040000000002</v>
      </c>
      <c r="I58" s="107">
        <f t="shared" si="8"/>
        <v>43.951499999999996</v>
      </c>
      <c r="J58" s="107">
        <f t="shared" si="8"/>
        <v>324.35000000000002</v>
      </c>
      <c r="K58" s="107">
        <f t="shared" si="8"/>
        <v>245.93799999999999</v>
      </c>
      <c r="L58" s="83">
        <f t="shared" si="8"/>
        <v>10.758499999999998</v>
      </c>
      <c r="M58" s="1"/>
      <c r="N58" s="1"/>
    </row>
    <row r="59" spans="1:14" ht="30" customHeight="1" thickBot="1" x14ac:dyDescent="0.3">
      <c r="A59" s="1"/>
      <c r="B59" s="18" t="s">
        <v>8</v>
      </c>
      <c r="C59" s="48"/>
      <c r="D59" s="48"/>
      <c r="E59" s="48"/>
      <c r="F59" s="48"/>
      <c r="G59" s="48"/>
      <c r="H59" s="48"/>
      <c r="I59" s="48"/>
      <c r="J59" s="48"/>
      <c r="K59" s="48"/>
      <c r="L59" s="66"/>
      <c r="M59" s="1"/>
      <c r="N59" s="1"/>
    </row>
    <row r="60" spans="1:14" ht="22.5" customHeight="1" thickBot="1" x14ac:dyDescent="0.3">
      <c r="A60" s="1"/>
      <c r="B60" s="195" t="s">
        <v>4</v>
      </c>
      <c r="C60" s="197" t="s">
        <v>0</v>
      </c>
      <c r="D60" s="197" t="s">
        <v>35</v>
      </c>
      <c r="E60" s="202" t="s">
        <v>12</v>
      </c>
      <c r="F60" s="203"/>
      <c r="G60" s="203"/>
      <c r="H60" s="204"/>
      <c r="I60" s="205" t="s">
        <v>40</v>
      </c>
      <c r="J60" s="199" t="s">
        <v>41</v>
      </c>
      <c r="K60" s="199" t="s">
        <v>42</v>
      </c>
      <c r="L60" s="199" t="s">
        <v>44</v>
      </c>
      <c r="M60" s="1"/>
      <c r="N60" s="1"/>
    </row>
    <row r="61" spans="1:14" ht="36" customHeight="1" thickBot="1" x14ac:dyDescent="0.3">
      <c r="A61" s="1"/>
      <c r="B61" s="196"/>
      <c r="C61" s="198"/>
      <c r="D61" s="198"/>
      <c r="E61" s="61" t="s">
        <v>36</v>
      </c>
      <c r="F61" s="61" t="s">
        <v>37</v>
      </c>
      <c r="G61" s="61" t="s">
        <v>38</v>
      </c>
      <c r="H61" s="61" t="s">
        <v>39</v>
      </c>
      <c r="I61" s="206"/>
      <c r="J61" s="200"/>
      <c r="K61" s="200"/>
      <c r="L61" s="200"/>
      <c r="M61" s="1"/>
      <c r="N61" s="1"/>
    </row>
    <row r="62" spans="1:14" ht="27.75" customHeight="1" thickBot="1" x14ac:dyDescent="0.3">
      <c r="A62" s="1"/>
      <c r="B62" s="13" t="s">
        <v>29</v>
      </c>
      <c r="C62" s="39"/>
      <c r="D62" s="39"/>
      <c r="E62" s="39"/>
      <c r="F62" s="39"/>
      <c r="G62" s="39"/>
      <c r="H62" s="39"/>
      <c r="I62" s="39"/>
      <c r="J62" s="39"/>
      <c r="K62" s="43"/>
      <c r="L62" s="67"/>
      <c r="M62" s="1"/>
      <c r="N62" s="1"/>
    </row>
    <row r="63" spans="1:14" ht="27.75" customHeight="1" thickBot="1" x14ac:dyDescent="0.3">
      <c r="A63" s="1"/>
      <c r="B63" s="92" t="s">
        <v>100</v>
      </c>
      <c r="C63" s="93" t="s">
        <v>101</v>
      </c>
      <c r="D63" s="94">
        <v>150</v>
      </c>
      <c r="E63" s="101">
        <v>15.34</v>
      </c>
      <c r="F63" s="101">
        <v>14.54</v>
      </c>
      <c r="G63" s="101">
        <v>48.2</v>
      </c>
      <c r="H63" s="101">
        <v>385.17</v>
      </c>
      <c r="I63" s="101">
        <v>1.18</v>
      </c>
      <c r="J63" s="74">
        <v>252.69</v>
      </c>
      <c r="K63" s="124">
        <v>39.71</v>
      </c>
      <c r="L63" s="74">
        <v>0.99</v>
      </c>
      <c r="M63" s="1"/>
      <c r="N63" s="1"/>
    </row>
    <row r="64" spans="1:14" ht="27" customHeight="1" thickBot="1" x14ac:dyDescent="0.3">
      <c r="A64" s="1"/>
      <c r="B64" s="69" t="s">
        <v>14</v>
      </c>
      <c r="C64" s="70" t="s">
        <v>46</v>
      </c>
      <c r="D64" s="71">
        <v>50</v>
      </c>
      <c r="E64" s="72">
        <v>3.8</v>
      </c>
      <c r="F64" s="72">
        <v>0.4</v>
      </c>
      <c r="G64" s="72">
        <v>24.6</v>
      </c>
      <c r="H64" s="72">
        <v>117.5</v>
      </c>
      <c r="I64" s="72">
        <v>0</v>
      </c>
      <c r="J64" s="72">
        <v>11.5</v>
      </c>
      <c r="K64" s="73">
        <v>16.5</v>
      </c>
      <c r="L64" s="74">
        <v>0.95</v>
      </c>
      <c r="M64" s="1"/>
      <c r="N64" s="1"/>
    </row>
    <row r="65" spans="1:14" ht="27" customHeight="1" thickBot="1" x14ac:dyDescent="0.3">
      <c r="A65" s="1"/>
      <c r="B65" s="69" t="s">
        <v>16</v>
      </c>
      <c r="C65" s="75" t="s">
        <v>47</v>
      </c>
      <c r="D65" s="76">
        <v>50</v>
      </c>
      <c r="E65" s="77">
        <v>3.3</v>
      </c>
      <c r="F65" s="77">
        <v>0.6</v>
      </c>
      <c r="G65" s="77">
        <v>16.7</v>
      </c>
      <c r="H65" s="77">
        <v>87</v>
      </c>
      <c r="I65" s="77">
        <v>0</v>
      </c>
      <c r="J65" s="77">
        <v>16.5</v>
      </c>
      <c r="K65" s="78">
        <v>28.5</v>
      </c>
      <c r="L65" s="74">
        <v>2.25</v>
      </c>
      <c r="M65" s="1"/>
      <c r="N65" s="1"/>
    </row>
    <row r="66" spans="1:14" ht="27" customHeight="1" thickBot="1" x14ac:dyDescent="0.3">
      <c r="A66" s="1"/>
      <c r="B66" s="69" t="s">
        <v>13</v>
      </c>
      <c r="C66" s="99" t="s">
        <v>49</v>
      </c>
      <c r="D66" s="100">
        <v>200</v>
      </c>
      <c r="E66" s="72">
        <v>0</v>
      </c>
      <c r="F66" s="72">
        <v>0</v>
      </c>
      <c r="G66" s="72">
        <v>6.9860000000000007</v>
      </c>
      <c r="H66" s="72">
        <v>27.93</v>
      </c>
      <c r="I66" s="72">
        <v>0.05</v>
      </c>
      <c r="J66" s="72">
        <v>2.69</v>
      </c>
      <c r="K66" s="73">
        <v>2.2000000000000002</v>
      </c>
      <c r="L66" s="74">
        <v>0.43</v>
      </c>
      <c r="M66" s="1"/>
      <c r="N66" s="1"/>
    </row>
    <row r="67" spans="1:14" ht="33" customHeight="1" thickBot="1" x14ac:dyDescent="0.35">
      <c r="A67" s="1"/>
      <c r="B67" s="88"/>
      <c r="C67" s="126" t="s">
        <v>30</v>
      </c>
      <c r="D67" s="82">
        <f t="shared" ref="D67:L67" si="9">SUM(D63:D66)</f>
        <v>450</v>
      </c>
      <c r="E67" s="129">
        <f t="shared" si="9"/>
        <v>22.44</v>
      </c>
      <c r="F67" s="83">
        <f t="shared" si="9"/>
        <v>15.54</v>
      </c>
      <c r="G67" s="129">
        <f t="shared" si="9"/>
        <v>96.486000000000018</v>
      </c>
      <c r="H67" s="83">
        <f t="shared" si="9"/>
        <v>617.6</v>
      </c>
      <c r="I67" s="129">
        <f t="shared" si="9"/>
        <v>1.23</v>
      </c>
      <c r="J67" s="83">
        <f t="shared" si="9"/>
        <v>283.38</v>
      </c>
      <c r="K67" s="129">
        <f t="shared" si="9"/>
        <v>86.910000000000011</v>
      </c>
      <c r="L67" s="83">
        <f t="shared" si="9"/>
        <v>4.6199999999999992</v>
      </c>
      <c r="M67" s="1"/>
      <c r="N67" s="1"/>
    </row>
    <row r="68" spans="1:14" ht="25.5" customHeight="1" thickBot="1" x14ac:dyDescent="0.3">
      <c r="A68" s="1"/>
      <c r="B68" s="130" t="s">
        <v>1</v>
      </c>
      <c r="C68" s="89"/>
      <c r="D68" s="131"/>
      <c r="E68" s="132"/>
      <c r="F68" s="132"/>
      <c r="G68" s="132"/>
      <c r="H68" s="132"/>
      <c r="I68" s="132"/>
      <c r="J68" s="132"/>
      <c r="K68" s="133"/>
      <c r="L68" s="134"/>
      <c r="M68" s="1"/>
      <c r="N68" s="1"/>
    </row>
    <row r="69" spans="1:14" ht="27.75" customHeight="1" thickBot="1" x14ac:dyDescent="0.3">
      <c r="A69" s="1"/>
      <c r="B69" s="135" t="s">
        <v>92</v>
      </c>
      <c r="C69" s="136" t="s">
        <v>43</v>
      </c>
      <c r="D69" s="137">
        <v>100</v>
      </c>
      <c r="E69" s="77">
        <f>0.96*100/60</f>
        <v>1.6</v>
      </c>
      <c r="F69" s="77">
        <f>3.78*100/60</f>
        <v>6.3</v>
      </c>
      <c r="G69" s="77">
        <f>4.44*100/60</f>
        <v>7.4000000000000012</v>
      </c>
      <c r="H69" s="77">
        <f>54.48*100/60</f>
        <v>90.8</v>
      </c>
      <c r="I69" s="77">
        <f>10.2*100/60</f>
        <v>16.999999999999996</v>
      </c>
      <c r="J69" s="118">
        <f>12.6*100/60</f>
        <v>21</v>
      </c>
      <c r="K69" s="73">
        <f>3.12*100/60</f>
        <v>5.2</v>
      </c>
      <c r="L69" s="74">
        <f>0.06*100/60</f>
        <v>0.1</v>
      </c>
      <c r="M69" s="1"/>
      <c r="N69" s="1"/>
    </row>
    <row r="70" spans="1:14" ht="28.5" customHeight="1" thickBot="1" x14ac:dyDescent="0.3">
      <c r="A70" s="1"/>
      <c r="B70" s="135" t="s">
        <v>120</v>
      </c>
      <c r="C70" s="99" t="s">
        <v>121</v>
      </c>
      <c r="D70" s="100">
        <v>250</v>
      </c>
      <c r="E70" s="101">
        <f>3.09*250/200</f>
        <v>3.8624999999999998</v>
      </c>
      <c r="F70" s="101">
        <f>3.15*250/200</f>
        <v>3.9375</v>
      </c>
      <c r="G70" s="101">
        <f>11.8*250/200</f>
        <v>14.75</v>
      </c>
      <c r="H70" s="101">
        <f>95.6*250/200</f>
        <v>119.5</v>
      </c>
      <c r="I70" s="77">
        <f>4.6*250/200</f>
        <v>5.75</v>
      </c>
      <c r="J70" s="103">
        <f>16.5*250/200</f>
        <v>20.625</v>
      </c>
      <c r="K70" s="73">
        <f>18.8*250/200</f>
        <v>23.5</v>
      </c>
      <c r="L70" s="74">
        <f>0.4*250/200</f>
        <v>0.5</v>
      </c>
      <c r="M70" s="1"/>
      <c r="N70" s="1"/>
    </row>
    <row r="71" spans="1:14" ht="28.5" customHeight="1" thickBot="1" x14ac:dyDescent="0.3">
      <c r="A71" s="1"/>
      <c r="B71" s="102" t="s">
        <v>69</v>
      </c>
      <c r="C71" s="75" t="s">
        <v>122</v>
      </c>
      <c r="D71" s="76">
        <v>250</v>
      </c>
      <c r="E71" s="77">
        <f>5.85*250/200</f>
        <v>7.3125</v>
      </c>
      <c r="F71" s="77">
        <f>8.42*250/200</f>
        <v>10.525</v>
      </c>
      <c r="G71" s="77">
        <f>13.84*250/200</f>
        <v>17.3</v>
      </c>
      <c r="H71" s="77">
        <f>156.34*250/200</f>
        <v>195.42500000000001</v>
      </c>
      <c r="I71" s="77">
        <f>73.35*250/200</f>
        <v>91.6875</v>
      </c>
      <c r="J71" s="118">
        <f>86.56*250/200</f>
        <v>108.2</v>
      </c>
      <c r="K71" s="73">
        <f>35.4*250/200</f>
        <v>44.25</v>
      </c>
      <c r="L71" s="74">
        <f>1.46*250/200</f>
        <v>1.825</v>
      </c>
      <c r="M71" s="1"/>
      <c r="N71" s="1"/>
    </row>
    <row r="72" spans="1:14" ht="27.75" customHeight="1" thickBot="1" x14ac:dyDescent="0.3">
      <c r="A72" s="1"/>
      <c r="B72" s="98" t="s">
        <v>14</v>
      </c>
      <c r="C72" s="99" t="s">
        <v>46</v>
      </c>
      <c r="D72" s="100">
        <v>40</v>
      </c>
      <c r="E72" s="101">
        <v>3.04</v>
      </c>
      <c r="F72" s="101">
        <v>0.32</v>
      </c>
      <c r="G72" s="101">
        <v>19.68</v>
      </c>
      <c r="H72" s="101">
        <v>94</v>
      </c>
      <c r="I72" s="77">
        <v>0</v>
      </c>
      <c r="J72" s="103">
        <v>9.1999999999999993</v>
      </c>
      <c r="K72" s="104">
        <v>13.2</v>
      </c>
      <c r="L72" s="77">
        <v>0.76</v>
      </c>
      <c r="M72" s="1"/>
      <c r="N72" s="1"/>
    </row>
    <row r="73" spans="1:14" ht="27" customHeight="1" thickBot="1" x14ac:dyDescent="0.3">
      <c r="A73" s="1"/>
      <c r="B73" s="69" t="s">
        <v>16</v>
      </c>
      <c r="C73" s="99" t="s">
        <v>47</v>
      </c>
      <c r="D73" s="100">
        <v>30</v>
      </c>
      <c r="E73" s="101">
        <v>1.98</v>
      </c>
      <c r="F73" s="101">
        <v>0.36</v>
      </c>
      <c r="G73" s="101">
        <v>10.02</v>
      </c>
      <c r="H73" s="101">
        <v>52.2</v>
      </c>
      <c r="I73" s="101">
        <v>0</v>
      </c>
      <c r="J73" s="101">
        <v>9.9</v>
      </c>
      <c r="K73" s="74">
        <v>17.100000000000001</v>
      </c>
      <c r="L73" s="74">
        <v>1.35</v>
      </c>
      <c r="M73" s="1"/>
      <c r="N73" s="1"/>
    </row>
    <row r="74" spans="1:14" ht="32.25" customHeight="1" thickBot="1" x14ac:dyDescent="0.3">
      <c r="A74" s="1"/>
      <c r="B74" s="98" t="s">
        <v>27</v>
      </c>
      <c r="C74" s="99" t="s">
        <v>112</v>
      </c>
      <c r="D74" s="100">
        <v>180</v>
      </c>
      <c r="E74" s="101">
        <v>1.04</v>
      </c>
      <c r="F74" s="101">
        <v>0.27</v>
      </c>
      <c r="G74" s="101">
        <v>42.53</v>
      </c>
      <c r="H74" s="101">
        <v>176.74</v>
      </c>
      <c r="I74" s="78">
        <v>0.72</v>
      </c>
      <c r="J74" s="86">
        <v>5.26</v>
      </c>
      <c r="K74" s="78">
        <v>30.03</v>
      </c>
      <c r="L74" s="78">
        <v>0.86</v>
      </c>
      <c r="M74" s="1"/>
      <c r="N74" s="1"/>
    </row>
    <row r="75" spans="1:14" ht="26.25" customHeight="1" thickBot="1" x14ac:dyDescent="0.35">
      <c r="A75" s="1"/>
      <c r="B75" s="102"/>
      <c r="C75" s="121" t="s">
        <v>2</v>
      </c>
      <c r="D75" s="122">
        <f t="shared" ref="D75:L75" si="10">SUM(D69:D74)</f>
        <v>850</v>
      </c>
      <c r="E75" s="123">
        <f t="shared" si="10"/>
        <v>18.835000000000001</v>
      </c>
      <c r="F75" s="123">
        <f t="shared" si="10"/>
        <v>21.712500000000002</v>
      </c>
      <c r="G75" s="123">
        <f t="shared" si="10"/>
        <v>111.68</v>
      </c>
      <c r="H75" s="123">
        <f t="shared" si="10"/>
        <v>728.66500000000008</v>
      </c>
      <c r="I75" s="83">
        <f t="shared" si="10"/>
        <v>115.1575</v>
      </c>
      <c r="J75" s="138">
        <f t="shared" si="10"/>
        <v>174.18499999999997</v>
      </c>
      <c r="K75" s="123">
        <f t="shared" si="10"/>
        <v>133.28</v>
      </c>
      <c r="L75" s="138">
        <f t="shared" si="10"/>
        <v>5.3950000000000005</v>
      </c>
      <c r="M75" s="1"/>
      <c r="N75" s="1"/>
    </row>
    <row r="76" spans="1:14" ht="26.25" customHeight="1" thickBot="1" x14ac:dyDescent="0.35">
      <c r="A76" s="1"/>
      <c r="B76" s="98"/>
      <c r="C76" s="127" t="s">
        <v>3</v>
      </c>
      <c r="D76" s="128">
        <f t="shared" ref="D76:L76" si="11">D75+D67</f>
        <v>1300</v>
      </c>
      <c r="E76" s="139">
        <f t="shared" si="11"/>
        <v>41.275000000000006</v>
      </c>
      <c r="F76" s="139">
        <f t="shared" si="11"/>
        <v>37.252499999999998</v>
      </c>
      <c r="G76" s="139">
        <f t="shared" si="11"/>
        <v>208.16600000000003</v>
      </c>
      <c r="H76" s="139">
        <f t="shared" si="11"/>
        <v>1346.2650000000001</v>
      </c>
      <c r="I76" s="139">
        <f t="shared" si="11"/>
        <v>116.3875</v>
      </c>
      <c r="J76" s="139">
        <f t="shared" si="11"/>
        <v>457.56499999999994</v>
      </c>
      <c r="K76" s="139">
        <f t="shared" si="11"/>
        <v>220.19</v>
      </c>
      <c r="L76" s="83">
        <f t="shared" si="11"/>
        <v>10.015000000000001</v>
      </c>
      <c r="M76" s="1"/>
      <c r="N76" s="1"/>
    </row>
    <row r="77" spans="1:14" ht="35.25" customHeight="1" thickBot="1" x14ac:dyDescent="0.3">
      <c r="A77" s="1"/>
      <c r="B77" s="18" t="s">
        <v>9</v>
      </c>
      <c r="C77" s="48"/>
      <c r="D77" s="48"/>
      <c r="E77" s="48"/>
      <c r="F77" s="48"/>
      <c r="G77" s="48"/>
      <c r="H77" s="48"/>
      <c r="I77" s="48"/>
      <c r="J77" s="48"/>
      <c r="K77" s="48"/>
      <c r="L77" s="66"/>
      <c r="M77" s="1"/>
      <c r="N77" s="1"/>
    </row>
    <row r="78" spans="1:14" ht="22.5" customHeight="1" thickBot="1" x14ac:dyDescent="0.3">
      <c r="A78" s="1"/>
      <c r="B78" s="195" t="s">
        <v>4</v>
      </c>
      <c r="C78" s="197" t="s">
        <v>0</v>
      </c>
      <c r="D78" s="197" t="s">
        <v>35</v>
      </c>
      <c r="E78" s="202" t="s">
        <v>12</v>
      </c>
      <c r="F78" s="203"/>
      <c r="G78" s="203"/>
      <c r="H78" s="204"/>
      <c r="I78" s="205" t="s">
        <v>40</v>
      </c>
      <c r="J78" s="199" t="s">
        <v>41</v>
      </c>
      <c r="K78" s="199" t="s">
        <v>42</v>
      </c>
      <c r="L78" s="199" t="s">
        <v>44</v>
      </c>
      <c r="M78" s="1"/>
      <c r="N78" s="1"/>
    </row>
    <row r="79" spans="1:14" ht="37.5" customHeight="1" thickBot="1" x14ac:dyDescent="0.3">
      <c r="A79" s="1"/>
      <c r="B79" s="196"/>
      <c r="C79" s="198"/>
      <c r="D79" s="198"/>
      <c r="E79" s="61" t="s">
        <v>36</v>
      </c>
      <c r="F79" s="61" t="s">
        <v>37</v>
      </c>
      <c r="G79" s="61" t="s">
        <v>38</v>
      </c>
      <c r="H79" s="61" t="s">
        <v>39</v>
      </c>
      <c r="I79" s="206"/>
      <c r="J79" s="200"/>
      <c r="K79" s="200"/>
      <c r="L79" s="200"/>
      <c r="M79" s="1"/>
      <c r="N79" s="1"/>
    </row>
    <row r="80" spans="1:14" ht="27" customHeight="1" thickBot="1" x14ac:dyDescent="0.3">
      <c r="A80" s="1"/>
      <c r="B80" s="13" t="s">
        <v>29</v>
      </c>
      <c r="C80" s="39"/>
      <c r="D80" s="39"/>
      <c r="E80" s="39"/>
      <c r="F80" s="39"/>
      <c r="G80" s="39"/>
      <c r="H80" s="39"/>
      <c r="I80" s="39"/>
      <c r="J80" s="39"/>
      <c r="K80" s="39"/>
      <c r="L80" s="63"/>
      <c r="M80" s="1"/>
      <c r="N80" s="1"/>
    </row>
    <row r="81" spans="1:14" ht="25.5" customHeight="1" thickBot="1" x14ac:dyDescent="0.3">
      <c r="A81" s="1"/>
      <c r="B81" s="98" t="s">
        <v>50</v>
      </c>
      <c r="C81" s="93" t="s">
        <v>91</v>
      </c>
      <c r="D81" s="94">
        <v>250</v>
      </c>
      <c r="E81" s="101">
        <v>6.72</v>
      </c>
      <c r="F81" s="101">
        <v>10.06</v>
      </c>
      <c r="G81" s="101">
        <v>26.78</v>
      </c>
      <c r="H81" s="101">
        <v>225.27</v>
      </c>
      <c r="I81" s="101">
        <v>4.2</v>
      </c>
      <c r="J81" s="101">
        <v>139.03</v>
      </c>
      <c r="K81" s="104">
        <v>53.86</v>
      </c>
      <c r="L81" s="77">
        <v>1.25</v>
      </c>
      <c r="M81" s="1"/>
      <c r="N81" s="1"/>
    </row>
    <row r="82" spans="1:14" ht="25.5" customHeight="1" thickBot="1" x14ac:dyDescent="0.3">
      <c r="A82" s="1"/>
      <c r="B82" s="69" t="s">
        <v>20</v>
      </c>
      <c r="C82" s="70" t="s">
        <v>62</v>
      </c>
      <c r="D82" s="71">
        <v>10</v>
      </c>
      <c r="E82" s="72">
        <v>0.08</v>
      </c>
      <c r="F82" s="72">
        <v>7.25</v>
      </c>
      <c r="G82" s="72">
        <v>0.13</v>
      </c>
      <c r="H82" s="72">
        <v>66.099999999999994</v>
      </c>
      <c r="I82" s="72">
        <v>0</v>
      </c>
      <c r="J82" s="72">
        <v>2.4</v>
      </c>
      <c r="K82" s="73">
        <v>0.05</v>
      </c>
      <c r="L82" s="74">
        <v>0.02</v>
      </c>
      <c r="M82" s="1"/>
      <c r="N82" s="1"/>
    </row>
    <row r="83" spans="1:14" ht="25.5" customHeight="1" thickBot="1" x14ac:dyDescent="0.3">
      <c r="A83" s="1"/>
      <c r="B83" s="69" t="s">
        <v>14</v>
      </c>
      <c r="C83" s="99" t="s">
        <v>46</v>
      </c>
      <c r="D83" s="100">
        <v>50</v>
      </c>
      <c r="E83" s="101">
        <v>3.8</v>
      </c>
      <c r="F83" s="101">
        <v>0.4</v>
      </c>
      <c r="G83" s="101">
        <v>24.6</v>
      </c>
      <c r="H83" s="101">
        <v>117.5</v>
      </c>
      <c r="I83" s="101">
        <v>0</v>
      </c>
      <c r="J83" s="101">
        <v>11.5</v>
      </c>
      <c r="K83" s="140">
        <v>16.5</v>
      </c>
      <c r="L83" s="141">
        <v>0.95</v>
      </c>
      <c r="M83" s="1"/>
      <c r="N83" s="1"/>
    </row>
    <row r="84" spans="1:14" ht="25.5" customHeight="1" thickBot="1" x14ac:dyDescent="0.3">
      <c r="A84" s="1"/>
      <c r="B84" s="69" t="s">
        <v>16</v>
      </c>
      <c r="C84" s="99" t="s">
        <v>47</v>
      </c>
      <c r="D84" s="100">
        <v>40</v>
      </c>
      <c r="E84" s="101">
        <v>2.64</v>
      </c>
      <c r="F84" s="101">
        <v>0.48</v>
      </c>
      <c r="G84" s="101">
        <v>13.36</v>
      </c>
      <c r="H84" s="101">
        <v>69.599999999999994</v>
      </c>
      <c r="I84" s="101">
        <v>0</v>
      </c>
      <c r="J84" s="101">
        <v>13.2</v>
      </c>
      <c r="K84" s="74">
        <v>22.8</v>
      </c>
      <c r="L84" s="74">
        <v>1.8</v>
      </c>
      <c r="M84" s="1"/>
      <c r="N84" s="1"/>
    </row>
    <row r="85" spans="1:14" ht="25.5" customHeight="1" thickBot="1" x14ac:dyDescent="0.3">
      <c r="A85" s="1"/>
      <c r="B85" s="69" t="s">
        <v>13</v>
      </c>
      <c r="C85" s="79" t="s">
        <v>49</v>
      </c>
      <c r="D85" s="71">
        <v>200</v>
      </c>
      <c r="E85" s="72">
        <v>0</v>
      </c>
      <c r="F85" s="72">
        <v>0</v>
      </c>
      <c r="G85" s="72">
        <v>6.9860000000000007</v>
      </c>
      <c r="H85" s="72">
        <v>27.93</v>
      </c>
      <c r="I85" s="72">
        <v>0.05</v>
      </c>
      <c r="J85" s="72">
        <v>2.69</v>
      </c>
      <c r="K85" s="78">
        <v>2.2000000000000002</v>
      </c>
      <c r="L85" s="74">
        <v>0.43</v>
      </c>
      <c r="M85" s="1"/>
      <c r="N85" s="1"/>
    </row>
    <row r="86" spans="1:14" ht="32.25" customHeight="1" thickBot="1" x14ac:dyDescent="0.35">
      <c r="A86" s="1"/>
      <c r="B86" s="142"/>
      <c r="C86" s="126" t="s">
        <v>30</v>
      </c>
      <c r="D86" s="82">
        <f>SUM(D81:D85)</f>
        <v>550</v>
      </c>
      <c r="E86" s="83">
        <f t="shared" ref="E86:L86" si="12">SUM(E81:E85)</f>
        <v>13.24</v>
      </c>
      <c r="F86" s="83">
        <f t="shared" si="12"/>
        <v>18.190000000000001</v>
      </c>
      <c r="G86" s="83">
        <f t="shared" si="12"/>
        <v>71.856000000000009</v>
      </c>
      <c r="H86" s="83">
        <f t="shared" si="12"/>
        <v>506.40000000000003</v>
      </c>
      <c r="I86" s="83">
        <f t="shared" si="12"/>
        <v>4.25</v>
      </c>
      <c r="J86" s="83">
        <f t="shared" si="12"/>
        <v>168.82</v>
      </c>
      <c r="K86" s="83">
        <f t="shared" si="12"/>
        <v>95.41</v>
      </c>
      <c r="L86" s="83">
        <f t="shared" si="12"/>
        <v>4.4499999999999993</v>
      </c>
      <c r="M86" s="1"/>
      <c r="N86" s="1"/>
    </row>
    <row r="87" spans="1:14" ht="22.5" customHeight="1" thickBot="1" x14ac:dyDescent="0.3">
      <c r="A87" s="1"/>
      <c r="B87" s="88" t="s">
        <v>1</v>
      </c>
      <c r="C87" s="89"/>
      <c r="D87" s="90"/>
      <c r="E87" s="89"/>
      <c r="F87" s="89"/>
      <c r="G87" s="89"/>
      <c r="H87" s="89"/>
      <c r="I87" s="89"/>
      <c r="J87" s="89"/>
      <c r="K87" s="89"/>
      <c r="L87" s="91"/>
      <c r="M87" s="1"/>
      <c r="N87" s="1"/>
    </row>
    <row r="88" spans="1:14" ht="24" customHeight="1" thickBot="1" x14ac:dyDescent="0.3">
      <c r="A88" s="1"/>
      <c r="B88" s="92" t="s">
        <v>77</v>
      </c>
      <c r="C88" s="93" t="s">
        <v>76</v>
      </c>
      <c r="D88" s="94">
        <v>100</v>
      </c>
      <c r="E88" s="95">
        <v>1.4</v>
      </c>
      <c r="F88" s="95">
        <v>10</v>
      </c>
      <c r="G88" s="95">
        <v>0.71666666666666667</v>
      </c>
      <c r="H88" s="95">
        <v>125.1</v>
      </c>
      <c r="I88" s="77">
        <v>9.6166666666666671</v>
      </c>
      <c r="J88" s="96">
        <v>31.2</v>
      </c>
      <c r="K88" s="78">
        <v>19.516666666666666</v>
      </c>
      <c r="L88" s="97">
        <v>0.81666666666666665</v>
      </c>
      <c r="M88" s="1"/>
      <c r="N88" s="1"/>
    </row>
    <row r="89" spans="1:14" ht="25.5" customHeight="1" thickBot="1" x14ac:dyDescent="0.3">
      <c r="A89" s="1"/>
      <c r="B89" s="135" t="s">
        <v>85</v>
      </c>
      <c r="C89" s="79" t="s">
        <v>82</v>
      </c>
      <c r="D89" s="143">
        <v>250</v>
      </c>
      <c r="E89" s="101">
        <v>2.7374999999999998</v>
      </c>
      <c r="F89" s="74">
        <v>6.4749999999999996</v>
      </c>
      <c r="G89" s="74">
        <v>13.6625</v>
      </c>
      <c r="H89" s="74">
        <v>126.375</v>
      </c>
      <c r="I89" s="77">
        <v>23.65</v>
      </c>
      <c r="J89" s="120">
        <v>41.037500000000001</v>
      </c>
      <c r="K89" s="78">
        <v>30.1875</v>
      </c>
      <c r="L89" s="74">
        <v>0.96250000000000002</v>
      </c>
      <c r="M89" s="1"/>
      <c r="N89" s="1"/>
    </row>
    <row r="90" spans="1:14" ht="27.75" customHeight="1" thickBot="1" x14ac:dyDescent="0.3">
      <c r="A90" s="1"/>
      <c r="B90" s="92" t="s">
        <v>86</v>
      </c>
      <c r="C90" s="93" t="s">
        <v>83</v>
      </c>
      <c r="D90" s="94">
        <v>250</v>
      </c>
      <c r="E90" s="74">
        <v>20.484000000000002</v>
      </c>
      <c r="F90" s="95">
        <v>23.784000000000002</v>
      </c>
      <c r="G90" s="95">
        <v>37.716000000000001</v>
      </c>
      <c r="H90" s="95">
        <v>446.66399999999999</v>
      </c>
      <c r="I90" s="74">
        <v>20.555999999999997</v>
      </c>
      <c r="J90" s="144">
        <v>169.63200000000001</v>
      </c>
      <c r="K90" s="140">
        <v>61.308</v>
      </c>
      <c r="L90" s="141">
        <v>1.776</v>
      </c>
      <c r="M90" s="1"/>
      <c r="N90" s="1"/>
    </row>
    <row r="91" spans="1:14" ht="25.5" customHeight="1" thickBot="1" x14ac:dyDescent="0.3">
      <c r="A91" s="1"/>
      <c r="B91" s="98" t="s">
        <v>14</v>
      </c>
      <c r="C91" s="99" t="s">
        <v>46</v>
      </c>
      <c r="D91" s="100">
        <v>40</v>
      </c>
      <c r="E91" s="101">
        <v>3.04</v>
      </c>
      <c r="F91" s="101">
        <v>0.32</v>
      </c>
      <c r="G91" s="101">
        <v>19.68</v>
      </c>
      <c r="H91" s="101">
        <v>94</v>
      </c>
      <c r="I91" s="77">
        <v>0</v>
      </c>
      <c r="J91" s="103">
        <v>9.1999999999999993</v>
      </c>
      <c r="K91" s="78">
        <v>13.2</v>
      </c>
      <c r="L91" s="87">
        <v>0.76</v>
      </c>
      <c r="M91" s="1"/>
      <c r="N91" s="1"/>
    </row>
    <row r="92" spans="1:14" ht="27" customHeight="1" thickBot="1" x14ac:dyDescent="0.3">
      <c r="A92" s="1"/>
      <c r="B92" s="69" t="s">
        <v>16</v>
      </c>
      <c r="C92" s="75" t="s">
        <v>47</v>
      </c>
      <c r="D92" s="76">
        <v>30</v>
      </c>
      <c r="E92" s="77">
        <v>1.98</v>
      </c>
      <c r="F92" s="77">
        <v>0.36</v>
      </c>
      <c r="G92" s="77">
        <v>10.02</v>
      </c>
      <c r="H92" s="101">
        <v>52.2</v>
      </c>
      <c r="I92" s="74">
        <v>0</v>
      </c>
      <c r="J92" s="96">
        <v>9.9</v>
      </c>
      <c r="K92" s="78">
        <v>17.100000000000001</v>
      </c>
      <c r="L92" s="74">
        <v>1.35</v>
      </c>
      <c r="M92" s="1"/>
      <c r="N92" s="1"/>
    </row>
    <row r="93" spans="1:14" ht="28.5" customHeight="1" thickBot="1" x14ac:dyDescent="0.3">
      <c r="A93" s="1"/>
      <c r="B93" s="69" t="s">
        <v>13</v>
      </c>
      <c r="C93" s="75" t="s">
        <v>49</v>
      </c>
      <c r="D93" s="76">
        <v>180</v>
      </c>
      <c r="E93" s="77">
        <v>0</v>
      </c>
      <c r="F93" s="77">
        <v>0</v>
      </c>
      <c r="G93" s="77">
        <v>6.29</v>
      </c>
      <c r="H93" s="101">
        <v>25.14</v>
      </c>
      <c r="I93" s="74">
        <v>0.05</v>
      </c>
      <c r="J93" s="96">
        <v>2.42</v>
      </c>
      <c r="K93" s="78">
        <v>1.98</v>
      </c>
      <c r="L93" s="74">
        <v>0.39</v>
      </c>
      <c r="M93" s="1"/>
      <c r="N93" s="1"/>
    </row>
    <row r="94" spans="1:14" ht="30.75" customHeight="1" thickBot="1" x14ac:dyDescent="0.35">
      <c r="A94" s="1"/>
      <c r="B94" s="98"/>
      <c r="C94" s="127" t="s">
        <v>2</v>
      </c>
      <c r="D94" s="128">
        <f t="shared" ref="D94:L94" si="13">SUM(D88:D93)</f>
        <v>850</v>
      </c>
      <c r="E94" s="139">
        <f t="shared" si="13"/>
        <v>29.641500000000001</v>
      </c>
      <c r="F94" s="139">
        <f t="shared" si="13"/>
        <v>40.939</v>
      </c>
      <c r="G94" s="139">
        <f t="shared" si="13"/>
        <v>88.08516666666668</v>
      </c>
      <c r="H94" s="139">
        <f t="shared" si="13"/>
        <v>869.47900000000004</v>
      </c>
      <c r="I94" s="139">
        <f t="shared" si="13"/>
        <v>53.87266666666666</v>
      </c>
      <c r="J94" s="139">
        <f t="shared" si="13"/>
        <v>263.3895</v>
      </c>
      <c r="K94" s="139">
        <f t="shared" si="13"/>
        <v>143.29216666666667</v>
      </c>
      <c r="L94" s="123">
        <f t="shared" si="13"/>
        <v>6.0551666666666657</v>
      </c>
      <c r="M94" s="1"/>
      <c r="N94" s="1"/>
    </row>
    <row r="95" spans="1:14" ht="29.25" customHeight="1" thickBot="1" x14ac:dyDescent="0.35">
      <c r="A95" s="1"/>
      <c r="B95" s="98"/>
      <c r="C95" s="127" t="s">
        <v>3</v>
      </c>
      <c r="D95" s="128">
        <f t="shared" ref="D95:L95" si="14">D94+D86</f>
        <v>1400</v>
      </c>
      <c r="E95" s="139">
        <f t="shared" si="14"/>
        <v>42.881500000000003</v>
      </c>
      <c r="F95" s="139">
        <f t="shared" si="14"/>
        <v>59.129000000000005</v>
      </c>
      <c r="G95" s="139">
        <f t="shared" si="14"/>
        <v>159.94116666666667</v>
      </c>
      <c r="H95" s="139">
        <f t="shared" si="14"/>
        <v>1375.8790000000001</v>
      </c>
      <c r="I95" s="139">
        <f t="shared" si="14"/>
        <v>58.12266666666666</v>
      </c>
      <c r="J95" s="139">
        <f t="shared" si="14"/>
        <v>432.20949999999999</v>
      </c>
      <c r="K95" s="139">
        <f t="shared" si="14"/>
        <v>238.70216666666667</v>
      </c>
      <c r="L95" s="83">
        <f t="shared" si="14"/>
        <v>10.505166666666664</v>
      </c>
      <c r="M95" s="1"/>
      <c r="N95" s="1"/>
    </row>
    <row r="96" spans="1:14" ht="32.25" customHeight="1" thickBot="1" x14ac:dyDescent="0.3">
      <c r="A96" s="1"/>
      <c r="B96" s="18" t="s">
        <v>22</v>
      </c>
      <c r="C96" s="48"/>
      <c r="D96" s="48"/>
      <c r="E96" s="48"/>
      <c r="F96" s="48"/>
      <c r="G96" s="48"/>
      <c r="H96" s="48"/>
      <c r="I96" s="48"/>
      <c r="J96" s="48"/>
      <c r="K96" s="48"/>
      <c r="L96" s="66"/>
      <c r="M96" s="1"/>
      <c r="N96" s="1"/>
    </row>
    <row r="97" spans="1:14" ht="22.5" customHeight="1" thickBot="1" x14ac:dyDescent="0.3">
      <c r="A97" s="1"/>
      <c r="B97" s="195" t="s">
        <v>4</v>
      </c>
      <c r="C97" s="197" t="s">
        <v>0</v>
      </c>
      <c r="D97" s="197" t="s">
        <v>35</v>
      </c>
      <c r="E97" s="202" t="s">
        <v>12</v>
      </c>
      <c r="F97" s="203"/>
      <c r="G97" s="203"/>
      <c r="H97" s="204"/>
      <c r="I97" s="205" t="s">
        <v>40</v>
      </c>
      <c r="J97" s="199" t="s">
        <v>41</v>
      </c>
      <c r="K97" s="199" t="s">
        <v>42</v>
      </c>
      <c r="L97" s="199" t="s">
        <v>44</v>
      </c>
      <c r="M97" s="1"/>
      <c r="N97" s="1"/>
    </row>
    <row r="98" spans="1:14" ht="39.75" customHeight="1" thickBot="1" x14ac:dyDescent="0.3">
      <c r="A98" s="1"/>
      <c r="B98" s="196"/>
      <c r="C98" s="198"/>
      <c r="D98" s="198"/>
      <c r="E98" s="61" t="s">
        <v>36</v>
      </c>
      <c r="F98" s="61" t="s">
        <v>37</v>
      </c>
      <c r="G98" s="61" t="s">
        <v>38</v>
      </c>
      <c r="H98" s="61" t="s">
        <v>39</v>
      </c>
      <c r="I98" s="206"/>
      <c r="J98" s="200"/>
      <c r="K98" s="200"/>
      <c r="L98" s="200"/>
      <c r="M98" s="1"/>
      <c r="N98" s="1"/>
    </row>
    <row r="99" spans="1:14" ht="27.75" customHeight="1" thickBot="1" x14ac:dyDescent="0.3">
      <c r="A99" s="1"/>
      <c r="B99" s="13" t="s">
        <v>29</v>
      </c>
      <c r="C99" s="39"/>
      <c r="D99" s="39"/>
      <c r="E99" s="39"/>
      <c r="F99" s="39"/>
      <c r="G99" s="39"/>
      <c r="H99" s="39"/>
      <c r="I99" s="39"/>
      <c r="J99" s="39"/>
      <c r="K99" s="39"/>
      <c r="L99" s="63"/>
      <c r="M99" s="1"/>
      <c r="N99" s="1"/>
    </row>
    <row r="100" spans="1:14" ht="27" customHeight="1" thickBot="1" x14ac:dyDescent="0.3">
      <c r="A100" s="1"/>
      <c r="B100" s="98" t="s">
        <v>84</v>
      </c>
      <c r="C100" s="79" t="s">
        <v>58</v>
      </c>
      <c r="D100" s="100">
        <v>100</v>
      </c>
      <c r="E100" s="101">
        <f>0.7*100/60</f>
        <v>1.1666666666666667</v>
      </c>
      <c r="F100" s="101">
        <f>0.05*100/60</f>
        <v>8.3333333333333329E-2</v>
      </c>
      <c r="G100" s="101">
        <f>6.12*100/60</f>
        <v>10.199999999999999</v>
      </c>
      <c r="H100" s="101">
        <v>47.46</v>
      </c>
      <c r="I100" s="77">
        <f>2.7*100/60</f>
        <v>4.5</v>
      </c>
      <c r="J100" s="103">
        <f>14.65*100/60</f>
        <v>24.416666666666668</v>
      </c>
      <c r="K100" s="77">
        <f>20.52*100/60</f>
        <v>34.200000000000003</v>
      </c>
      <c r="L100" s="77">
        <f>0.39*100/60</f>
        <v>0.65</v>
      </c>
      <c r="M100" s="1"/>
      <c r="N100" s="1"/>
    </row>
    <row r="101" spans="1:14" ht="25.5" customHeight="1" thickBot="1" x14ac:dyDescent="0.3">
      <c r="A101" s="1"/>
      <c r="B101" s="69" t="s">
        <v>64</v>
      </c>
      <c r="C101" s="93" t="s">
        <v>63</v>
      </c>
      <c r="D101" s="71">
        <v>110</v>
      </c>
      <c r="E101" s="72">
        <v>10.210000000000001</v>
      </c>
      <c r="F101" s="72">
        <v>11.9</v>
      </c>
      <c r="G101" s="72">
        <v>1.92</v>
      </c>
      <c r="H101" s="72">
        <v>161.88</v>
      </c>
      <c r="I101" s="72">
        <v>0.43</v>
      </c>
      <c r="J101" s="72">
        <v>86.51</v>
      </c>
      <c r="K101" s="73">
        <v>14.59</v>
      </c>
      <c r="L101" s="74">
        <v>2.1</v>
      </c>
      <c r="M101" s="1"/>
      <c r="N101" s="1"/>
    </row>
    <row r="102" spans="1:14" ht="27.75" customHeight="1" thickBot="1" x14ac:dyDescent="0.3">
      <c r="A102" s="1"/>
      <c r="B102" s="69" t="s">
        <v>14</v>
      </c>
      <c r="C102" s="79" t="s">
        <v>46</v>
      </c>
      <c r="D102" s="71">
        <v>50</v>
      </c>
      <c r="E102" s="72">
        <v>3.8</v>
      </c>
      <c r="F102" s="72">
        <v>0.4</v>
      </c>
      <c r="G102" s="72">
        <v>24.6</v>
      </c>
      <c r="H102" s="72">
        <v>117.5</v>
      </c>
      <c r="I102" s="72">
        <v>0</v>
      </c>
      <c r="J102" s="72">
        <v>11.5</v>
      </c>
      <c r="K102" s="73">
        <v>16.5</v>
      </c>
      <c r="L102" s="74">
        <v>0.95</v>
      </c>
      <c r="M102" s="1"/>
      <c r="N102" s="1"/>
    </row>
    <row r="103" spans="1:14" ht="27.75" customHeight="1" thickBot="1" x14ac:dyDescent="0.3">
      <c r="A103" s="1"/>
      <c r="B103" s="69" t="s">
        <v>16</v>
      </c>
      <c r="C103" s="75" t="s">
        <v>47</v>
      </c>
      <c r="D103" s="76">
        <v>50</v>
      </c>
      <c r="E103" s="77">
        <v>3.3</v>
      </c>
      <c r="F103" s="77">
        <v>0.6</v>
      </c>
      <c r="G103" s="77">
        <v>16.7</v>
      </c>
      <c r="H103" s="77">
        <v>87</v>
      </c>
      <c r="I103" s="77">
        <v>0</v>
      </c>
      <c r="J103" s="77">
        <v>16.5</v>
      </c>
      <c r="K103" s="78">
        <v>28.5</v>
      </c>
      <c r="L103" s="74">
        <v>2.25</v>
      </c>
      <c r="M103" s="1"/>
      <c r="N103" s="1"/>
    </row>
    <row r="104" spans="1:14" ht="27.75" customHeight="1" thickBot="1" x14ac:dyDescent="0.3">
      <c r="A104" s="1"/>
      <c r="B104" s="69" t="s">
        <v>93</v>
      </c>
      <c r="C104" s="75" t="s">
        <v>130</v>
      </c>
      <c r="D104" s="100">
        <v>35</v>
      </c>
      <c r="E104" s="101">
        <v>1.1299999999999999</v>
      </c>
      <c r="F104" s="101">
        <v>1.47</v>
      </c>
      <c r="G104" s="101">
        <v>11.16</v>
      </c>
      <c r="H104" s="101">
        <v>62.1</v>
      </c>
      <c r="I104" s="101">
        <v>0</v>
      </c>
      <c r="J104" s="101">
        <v>4.3499999999999996</v>
      </c>
      <c r="K104" s="78">
        <v>3</v>
      </c>
      <c r="L104" s="74">
        <v>0.32</v>
      </c>
      <c r="M104" s="1"/>
      <c r="N104" s="1"/>
    </row>
    <row r="105" spans="1:14" ht="27.75" customHeight="1" thickBot="1" x14ac:dyDescent="0.3">
      <c r="A105" s="1"/>
      <c r="B105" s="69" t="s">
        <v>13</v>
      </c>
      <c r="C105" s="79" t="s">
        <v>49</v>
      </c>
      <c r="D105" s="71">
        <v>200</v>
      </c>
      <c r="E105" s="72">
        <v>0</v>
      </c>
      <c r="F105" s="72">
        <v>0</v>
      </c>
      <c r="G105" s="72">
        <v>6.9860000000000007</v>
      </c>
      <c r="H105" s="72">
        <v>27.93</v>
      </c>
      <c r="I105" s="72">
        <v>0.05</v>
      </c>
      <c r="J105" s="72">
        <v>2.69</v>
      </c>
      <c r="K105" s="78">
        <v>2.2000000000000002</v>
      </c>
      <c r="L105" s="74">
        <v>0.43</v>
      </c>
      <c r="M105" s="1"/>
      <c r="N105" s="1"/>
    </row>
    <row r="106" spans="1:14" ht="28.5" customHeight="1" thickBot="1" x14ac:dyDescent="0.35">
      <c r="A106" s="1"/>
      <c r="B106" s="145"/>
      <c r="C106" s="146" t="s">
        <v>30</v>
      </c>
      <c r="D106" s="82">
        <f t="shared" ref="D106:L106" si="15">SUM(D100:D105)</f>
        <v>545</v>
      </c>
      <c r="E106" s="83">
        <f t="shared" si="15"/>
        <v>19.606666666666666</v>
      </c>
      <c r="F106" s="83">
        <f t="shared" si="15"/>
        <v>14.453333333333335</v>
      </c>
      <c r="G106" s="83">
        <f t="shared" si="15"/>
        <v>71.566000000000003</v>
      </c>
      <c r="H106" s="83">
        <f t="shared" si="15"/>
        <v>503.87000000000006</v>
      </c>
      <c r="I106" s="83">
        <f t="shared" si="15"/>
        <v>4.9799999999999995</v>
      </c>
      <c r="J106" s="83">
        <f t="shared" si="15"/>
        <v>145.96666666666667</v>
      </c>
      <c r="K106" s="83">
        <f t="shared" si="15"/>
        <v>98.990000000000009</v>
      </c>
      <c r="L106" s="83">
        <f t="shared" si="15"/>
        <v>6.7</v>
      </c>
      <c r="M106" s="1"/>
      <c r="N106" s="1"/>
    </row>
    <row r="107" spans="1:14" ht="22.5" customHeight="1" thickBot="1" x14ac:dyDescent="0.3">
      <c r="A107" s="1"/>
      <c r="B107" s="88" t="s">
        <v>1</v>
      </c>
      <c r="C107" s="89"/>
      <c r="D107" s="90"/>
      <c r="E107" s="89"/>
      <c r="F107" s="89"/>
      <c r="G107" s="89"/>
      <c r="H107" s="89"/>
      <c r="I107" s="89"/>
      <c r="J107" s="89"/>
      <c r="K107" s="89"/>
      <c r="L107" s="91"/>
      <c r="M107" s="1"/>
      <c r="N107" s="1"/>
    </row>
    <row r="108" spans="1:14" ht="24.75" customHeight="1" thickBot="1" x14ac:dyDescent="0.3">
      <c r="A108" s="1"/>
      <c r="B108" s="116" t="s">
        <v>97</v>
      </c>
      <c r="C108" s="117" t="s">
        <v>129</v>
      </c>
      <c r="D108" s="100">
        <v>100</v>
      </c>
      <c r="E108" s="95">
        <v>1.1000000000000001</v>
      </c>
      <c r="F108" s="95">
        <v>0.2</v>
      </c>
      <c r="G108" s="95">
        <v>3.7999999999999994</v>
      </c>
      <c r="H108" s="95">
        <v>22</v>
      </c>
      <c r="I108" s="77">
        <v>17.5</v>
      </c>
      <c r="J108" s="118">
        <v>14</v>
      </c>
      <c r="K108" s="104">
        <v>20</v>
      </c>
      <c r="L108" s="77">
        <v>0.85</v>
      </c>
      <c r="M108" s="1"/>
      <c r="N108" s="1"/>
    </row>
    <row r="109" spans="1:14" ht="27" customHeight="1" thickBot="1" x14ac:dyDescent="0.3">
      <c r="A109" s="1"/>
      <c r="B109" s="98" t="s">
        <v>73</v>
      </c>
      <c r="C109" s="99" t="s">
        <v>57</v>
      </c>
      <c r="D109" s="100">
        <v>250</v>
      </c>
      <c r="E109" s="101">
        <f>1.53*250/200</f>
        <v>1.9125000000000001</v>
      </c>
      <c r="F109" s="101">
        <f>3.34*250/200</f>
        <v>4.1749999999999998</v>
      </c>
      <c r="G109" s="101">
        <f>6.67*250/200</f>
        <v>8.3375000000000004</v>
      </c>
      <c r="H109" s="101">
        <f>63.6*250/200</f>
        <v>79.5</v>
      </c>
      <c r="I109" s="77">
        <f>23.64*250/200</f>
        <v>29.55</v>
      </c>
      <c r="J109" s="103">
        <f>42.83*250/200</f>
        <v>53.537500000000001</v>
      </c>
      <c r="K109" s="78">
        <f>16.77*250/200</f>
        <v>20.962499999999999</v>
      </c>
      <c r="L109" s="74">
        <f>0.59*250/200</f>
        <v>0.73750000000000004</v>
      </c>
      <c r="M109" s="1"/>
      <c r="N109" s="1"/>
    </row>
    <row r="110" spans="1:14" ht="25.5" customHeight="1" thickBot="1" x14ac:dyDescent="0.3">
      <c r="A110" s="1"/>
      <c r="B110" s="98" t="s">
        <v>70</v>
      </c>
      <c r="C110" s="75" t="s">
        <v>104</v>
      </c>
      <c r="D110" s="100">
        <v>100</v>
      </c>
      <c r="E110" s="101">
        <v>13.111111111111111</v>
      </c>
      <c r="F110" s="101">
        <v>6.7777777777777777</v>
      </c>
      <c r="G110" s="101">
        <v>3</v>
      </c>
      <c r="H110" s="101">
        <v>125.33333333333333</v>
      </c>
      <c r="I110" s="77">
        <v>0.55555555555555558</v>
      </c>
      <c r="J110" s="103">
        <v>28.777777777777779</v>
      </c>
      <c r="K110" s="78">
        <v>25.111111111111111</v>
      </c>
      <c r="L110" s="74">
        <v>0.7</v>
      </c>
      <c r="M110" s="1"/>
      <c r="N110" s="1"/>
    </row>
    <row r="111" spans="1:14" ht="25.5" customHeight="1" thickBot="1" x14ac:dyDescent="0.3">
      <c r="A111" s="1"/>
      <c r="B111" s="98" t="s">
        <v>79</v>
      </c>
      <c r="C111" s="99" t="s">
        <v>123</v>
      </c>
      <c r="D111" s="100">
        <v>180</v>
      </c>
      <c r="E111" s="101">
        <f>3.78*180/150</f>
        <v>4.5359999999999996</v>
      </c>
      <c r="F111" s="101">
        <f>7.78*180/150</f>
        <v>9.3360000000000003</v>
      </c>
      <c r="G111" s="101">
        <f>39.29*180/150</f>
        <v>47.147999999999996</v>
      </c>
      <c r="H111" s="101">
        <f>242*180/150</f>
        <v>290.39999999999998</v>
      </c>
      <c r="I111" s="78">
        <v>0</v>
      </c>
      <c r="J111" s="86">
        <f>4.13*180/150</f>
        <v>4.9559999999999995</v>
      </c>
      <c r="K111" s="78">
        <f>18*180/150</f>
        <v>21.6</v>
      </c>
      <c r="L111" s="78">
        <f>0.37*180/150</f>
        <v>0.44399999999999995</v>
      </c>
      <c r="M111" s="1"/>
      <c r="N111" s="1"/>
    </row>
    <row r="112" spans="1:14" ht="25.5" customHeight="1" thickBot="1" x14ac:dyDescent="0.3">
      <c r="A112" s="1"/>
      <c r="B112" s="69" t="s">
        <v>14</v>
      </c>
      <c r="C112" s="79" t="s">
        <v>46</v>
      </c>
      <c r="D112" s="71">
        <v>40</v>
      </c>
      <c r="E112" s="72">
        <v>3.04</v>
      </c>
      <c r="F112" s="72">
        <v>0.32</v>
      </c>
      <c r="G112" s="72">
        <v>19.68</v>
      </c>
      <c r="H112" s="72">
        <v>94</v>
      </c>
      <c r="I112" s="72">
        <v>0</v>
      </c>
      <c r="J112" s="72">
        <v>9.1999999999999993</v>
      </c>
      <c r="K112" s="73">
        <v>13.2</v>
      </c>
      <c r="L112" s="74">
        <v>0.76</v>
      </c>
      <c r="M112" s="1"/>
      <c r="N112" s="1"/>
    </row>
    <row r="113" spans="1:14" ht="24.75" customHeight="1" thickBot="1" x14ac:dyDescent="0.3">
      <c r="A113" s="1"/>
      <c r="B113" s="69" t="s">
        <v>16</v>
      </c>
      <c r="C113" s="75" t="s">
        <v>47</v>
      </c>
      <c r="D113" s="76">
        <v>30</v>
      </c>
      <c r="E113" s="77">
        <v>1.98</v>
      </c>
      <c r="F113" s="77">
        <v>0.36</v>
      </c>
      <c r="G113" s="77">
        <v>10.02</v>
      </c>
      <c r="H113" s="101">
        <v>52.2</v>
      </c>
      <c r="I113" s="74">
        <v>0</v>
      </c>
      <c r="J113" s="96">
        <v>9.9</v>
      </c>
      <c r="K113" s="78">
        <v>17.100000000000001</v>
      </c>
      <c r="L113" s="74">
        <v>1.35</v>
      </c>
      <c r="M113" s="1"/>
      <c r="N113" s="1"/>
    </row>
    <row r="114" spans="1:14" ht="27" customHeight="1" thickBot="1" x14ac:dyDescent="0.3">
      <c r="A114" s="1"/>
      <c r="B114" s="69" t="s">
        <v>13</v>
      </c>
      <c r="C114" s="75" t="s">
        <v>49</v>
      </c>
      <c r="D114" s="76">
        <v>180</v>
      </c>
      <c r="E114" s="77">
        <v>0</v>
      </c>
      <c r="F114" s="77">
        <v>0</v>
      </c>
      <c r="G114" s="77">
        <v>6.29</v>
      </c>
      <c r="H114" s="101">
        <v>25.14</v>
      </c>
      <c r="I114" s="74">
        <v>0.05</v>
      </c>
      <c r="J114" s="96">
        <v>2.42</v>
      </c>
      <c r="K114" s="78">
        <v>1.98</v>
      </c>
      <c r="L114" s="74">
        <v>0.39</v>
      </c>
      <c r="M114" s="1"/>
      <c r="N114" s="1"/>
    </row>
    <row r="115" spans="1:14" ht="26.25" customHeight="1" thickBot="1" x14ac:dyDescent="0.45">
      <c r="A115" s="1"/>
      <c r="B115" s="98"/>
      <c r="C115" s="127" t="s">
        <v>2</v>
      </c>
      <c r="D115" s="128">
        <f t="shared" ref="D115:L115" si="16">SUM(D108:D114)</f>
        <v>880</v>
      </c>
      <c r="E115" s="139">
        <f t="shared" si="16"/>
        <v>25.679611111111111</v>
      </c>
      <c r="F115" s="139">
        <f t="shared" si="16"/>
        <v>21.168777777777777</v>
      </c>
      <c r="G115" s="139">
        <f t="shared" si="16"/>
        <v>98.275499999999994</v>
      </c>
      <c r="H115" s="139">
        <f t="shared" si="16"/>
        <v>688.57333333333338</v>
      </c>
      <c r="I115" s="83">
        <f t="shared" si="16"/>
        <v>47.655555555555551</v>
      </c>
      <c r="J115" s="147">
        <f t="shared" si="16"/>
        <v>122.79127777777778</v>
      </c>
      <c r="K115" s="123">
        <f t="shared" si="16"/>
        <v>119.95361111111113</v>
      </c>
      <c r="L115" s="123">
        <f t="shared" si="16"/>
        <v>5.2314999999999996</v>
      </c>
      <c r="M115" s="6"/>
      <c r="N115" s="1"/>
    </row>
    <row r="116" spans="1:14" ht="24" customHeight="1" thickBot="1" x14ac:dyDescent="0.35">
      <c r="A116" s="1"/>
      <c r="B116" s="98"/>
      <c r="C116" s="127" t="s">
        <v>3</v>
      </c>
      <c r="D116" s="128">
        <f t="shared" ref="D116:L116" si="17">D115+D106</f>
        <v>1425</v>
      </c>
      <c r="E116" s="139">
        <f t="shared" si="17"/>
        <v>45.286277777777777</v>
      </c>
      <c r="F116" s="139">
        <f t="shared" si="17"/>
        <v>35.62211111111111</v>
      </c>
      <c r="G116" s="139">
        <f t="shared" si="17"/>
        <v>169.8415</v>
      </c>
      <c r="H116" s="139">
        <f t="shared" si="17"/>
        <v>1192.4433333333334</v>
      </c>
      <c r="I116" s="139">
        <f t="shared" si="17"/>
        <v>52.635555555555548</v>
      </c>
      <c r="J116" s="139">
        <f t="shared" si="17"/>
        <v>268.75794444444443</v>
      </c>
      <c r="K116" s="139">
        <f t="shared" si="17"/>
        <v>218.94361111111112</v>
      </c>
      <c r="L116" s="83">
        <f t="shared" si="17"/>
        <v>11.9315</v>
      </c>
      <c r="M116" s="1"/>
      <c r="N116" s="1"/>
    </row>
    <row r="117" spans="1:14" ht="22.5" customHeight="1" thickBot="1" x14ac:dyDescent="0.3">
      <c r="A117" s="1"/>
      <c r="B117" s="18" t="s">
        <v>23</v>
      </c>
      <c r="C117" s="48"/>
      <c r="D117" s="48"/>
      <c r="E117" s="48"/>
      <c r="F117" s="48"/>
      <c r="G117" s="48"/>
      <c r="H117" s="48"/>
      <c r="I117" s="48"/>
      <c r="J117" s="48"/>
      <c r="K117" s="48"/>
      <c r="L117" s="66"/>
      <c r="M117" s="1"/>
      <c r="N117" s="1"/>
    </row>
    <row r="118" spans="1:14" ht="22.5" customHeight="1" thickBot="1" x14ac:dyDescent="0.3">
      <c r="A118" s="1"/>
      <c r="B118" s="195" t="s">
        <v>4</v>
      </c>
      <c r="C118" s="197" t="s">
        <v>0</v>
      </c>
      <c r="D118" s="197" t="s">
        <v>35</v>
      </c>
      <c r="E118" s="202" t="s">
        <v>12</v>
      </c>
      <c r="F118" s="203"/>
      <c r="G118" s="203"/>
      <c r="H118" s="204"/>
      <c r="I118" s="205" t="s">
        <v>40</v>
      </c>
      <c r="J118" s="199" t="s">
        <v>41</v>
      </c>
      <c r="K118" s="199" t="s">
        <v>42</v>
      </c>
      <c r="L118" s="199" t="s">
        <v>44</v>
      </c>
      <c r="M118" s="1"/>
      <c r="N118" s="1"/>
    </row>
    <row r="119" spans="1:14" ht="40.5" customHeight="1" thickBot="1" x14ac:dyDescent="0.3">
      <c r="A119" s="1"/>
      <c r="B119" s="196"/>
      <c r="C119" s="198"/>
      <c r="D119" s="198"/>
      <c r="E119" s="61" t="s">
        <v>36</v>
      </c>
      <c r="F119" s="61" t="s">
        <v>37</v>
      </c>
      <c r="G119" s="61" t="s">
        <v>38</v>
      </c>
      <c r="H119" s="61" t="s">
        <v>39</v>
      </c>
      <c r="I119" s="206"/>
      <c r="J119" s="200"/>
      <c r="K119" s="200"/>
      <c r="L119" s="200"/>
      <c r="M119" s="1"/>
      <c r="N119" s="1"/>
    </row>
    <row r="120" spans="1:14" ht="22.5" customHeight="1" thickBot="1" x14ac:dyDescent="0.3">
      <c r="A120" s="1"/>
      <c r="B120" s="13" t="s">
        <v>29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63"/>
      <c r="M120" s="1"/>
      <c r="N120" s="1"/>
    </row>
    <row r="121" spans="1:14" ht="22.5" customHeight="1" thickBot="1" x14ac:dyDescent="0.3">
      <c r="A121" s="1"/>
      <c r="B121" s="92" t="s">
        <v>70</v>
      </c>
      <c r="C121" s="93" t="s">
        <v>90</v>
      </c>
      <c r="D121" s="94">
        <v>250</v>
      </c>
      <c r="E121" s="95">
        <f>9.2*250/200</f>
        <v>11.5</v>
      </c>
      <c r="F121" s="95">
        <f>10.06*250/200</f>
        <v>12.574999999999999</v>
      </c>
      <c r="G121" s="95">
        <f>31.43*250/200</f>
        <v>39.287500000000001</v>
      </c>
      <c r="H121" s="95">
        <f>259.96*250/200</f>
        <v>324.95</v>
      </c>
      <c r="I121" s="95">
        <f>3.36*250/200</f>
        <v>4.2</v>
      </c>
      <c r="J121" s="72">
        <f>139.03*250/200</f>
        <v>173.78749999999999</v>
      </c>
      <c r="K121" s="78">
        <f>53.86*250/200</f>
        <v>67.325000000000003</v>
      </c>
      <c r="L121" s="74">
        <f>1.25*250/200</f>
        <v>1.5625</v>
      </c>
      <c r="M121" s="1"/>
      <c r="N121" s="1"/>
    </row>
    <row r="122" spans="1:14" ht="22.5" customHeight="1" thickBot="1" x14ac:dyDescent="0.3">
      <c r="A122" s="1"/>
      <c r="B122" s="98" t="s">
        <v>96</v>
      </c>
      <c r="C122" s="99" t="s">
        <v>68</v>
      </c>
      <c r="D122" s="100">
        <v>10</v>
      </c>
      <c r="E122" s="101">
        <v>2.0499999999999998</v>
      </c>
      <c r="F122" s="101">
        <v>2.2999999999999998</v>
      </c>
      <c r="G122" s="101">
        <v>0.23</v>
      </c>
      <c r="H122" s="101">
        <v>29.67</v>
      </c>
      <c r="I122" s="101">
        <v>0.06</v>
      </c>
      <c r="J122" s="101">
        <v>70</v>
      </c>
      <c r="K122" s="78">
        <v>3.3</v>
      </c>
      <c r="L122" s="74">
        <v>0.08</v>
      </c>
      <c r="M122" s="1"/>
      <c r="N122" s="1"/>
    </row>
    <row r="123" spans="1:14" ht="22.5" customHeight="1" thickBot="1" x14ac:dyDescent="0.3">
      <c r="A123" s="1"/>
      <c r="B123" s="69" t="s">
        <v>14</v>
      </c>
      <c r="C123" s="79" t="s">
        <v>46</v>
      </c>
      <c r="D123" s="71">
        <v>50</v>
      </c>
      <c r="E123" s="72">
        <v>3.8</v>
      </c>
      <c r="F123" s="72">
        <v>0.4</v>
      </c>
      <c r="G123" s="72">
        <v>24.6</v>
      </c>
      <c r="H123" s="72">
        <v>117.5</v>
      </c>
      <c r="I123" s="72">
        <v>0</v>
      </c>
      <c r="J123" s="72">
        <v>11.5</v>
      </c>
      <c r="K123" s="73">
        <v>16.5</v>
      </c>
      <c r="L123" s="74">
        <v>0.95</v>
      </c>
      <c r="M123" s="1"/>
      <c r="N123" s="1"/>
    </row>
    <row r="124" spans="1:14" ht="22.5" customHeight="1" thickBot="1" x14ac:dyDescent="0.3">
      <c r="A124" s="1"/>
      <c r="B124" s="69" t="s">
        <v>16</v>
      </c>
      <c r="C124" s="99" t="s">
        <v>47</v>
      </c>
      <c r="D124" s="100">
        <v>40</v>
      </c>
      <c r="E124" s="101">
        <v>2.64</v>
      </c>
      <c r="F124" s="101">
        <v>0.48</v>
      </c>
      <c r="G124" s="101">
        <v>13.36</v>
      </c>
      <c r="H124" s="101">
        <v>69.599999999999994</v>
      </c>
      <c r="I124" s="101">
        <v>0</v>
      </c>
      <c r="J124" s="101">
        <v>13.2</v>
      </c>
      <c r="K124" s="74">
        <v>22.8</v>
      </c>
      <c r="L124" s="74">
        <v>1.8</v>
      </c>
      <c r="M124" s="1"/>
      <c r="N124" s="1"/>
    </row>
    <row r="125" spans="1:14" ht="22.5" customHeight="1" thickBot="1" x14ac:dyDescent="0.3">
      <c r="A125" s="1"/>
      <c r="B125" s="69" t="s">
        <v>13</v>
      </c>
      <c r="C125" s="75" t="s">
        <v>49</v>
      </c>
      <c r="D125" s="100">
        <v>200</v>
      </c>
      <c r="E125" s="101">
        <v>0</v>
      </c>
      <c r="F125" s="101">
        <v>0</v>
      </c>
      <c r="G125" s="101">
        <v>6.9860000000000007</v>
      </c>
      <c r="H125" s="101">
        <v>27.93</v>
      </c>
      <c r="I125" s="101">
        <v>0.05</v>
      </c>
      <c r="J125" s="101">
        <v>2.69</v>
      </c>
      <c r="K125" s="78">
        <v>2.2000000000000002</v>
      </c>
      <c r="L125" s="74">
        <v>0.43</v>
      </c>
      <c r="M125" s="1"/>
      <c r="N125" s="1"/>
    </row>
    <row r="126" spans="1:14" ht="33" customHeight="1" thickBot="1" x14ac:dyDescent="0.35">
      <c r="A126" s="1"/>
      <c r="B126" s="142"/>
      <c r="C126" s="126" t="s">
        <v>30</v>
      </c>
      <c r="D126" s="82">
        <f t="shared" ref="D126:L126" si="18">SUM(D121:D125)</f>
        <v>550</v>
      </c>
      <c r="E126" s="83">
        <f t="shared" si="18"/>
        <v>19.990000000000002</v>
      </c>
      <c r="F126" s="83">
        <f t="shared" si="18"/>
        <v>15.755000000000001</v>
      </c>
      <c r="G126" s="83">
        <f t="shared" si="18"/>
        <v>84.46350000000001</v>
      </c>
      <c r="H126" s="83">
        <f t="shared" si="18"/>
        <v>569.65</v>
      </c>
      <c r="I126" s="83">
        <f t="shared" si="18"/>
        <v>4.3099999999999996</v>
      </c>
      <c r="J126" s="83">
        <f t="shared" si="18"/>
        <v>271.17750000000001</v>
      </c>
      <c r="K126" s="129">
        <f t="shared" si="18"/>
        <v>112.125</v>
      </c>
      <c r="L126" s="83">
        <f t="shared" si="18"/>
        <v>4.8224999999999998</v>
      </c>
      <c r="M126" s="1"/>
      <c r="N126" s="1"/>
    </row>
    <row r="127" spans="1:14" ht="22.5" customHeight="1" thickBot="1" x14ac:dyDescent="0.3">
      <c r="A127" s="1"/>
      <c r="B127" s="88" t="s">
        <v>1</v>
      </c>
      <c r="C127" s="89"/>
      <c r="D127" s="90"/>
      <c r="E127" s="89"/>
      <c r="F127" s="89"/>
      <c r="G127" s="89"/>
      <c r="H127" s="89"/>
      <c r="I127" s="89"/>
      <c r="J127" s="89"/>
      <c r="K127" s="89"/>
      <c r="L127" s="91"/>
      <c r="M127" s="1"/>
      <c r="N127" s="1"/>
    </row>
    <row r="128" spans="1:14" ht="22.5" customHeight="1" thickBot="1" x14ac:dyDescent="0.3">
      <c r="A128" s="1"/>
      <c r="B128" s="135" t="s">
        <v>53</v>
      </c>
      <c r="C128" s="93" t="s">
        <v>129</v>
      </c>
      <c r="D128" s="94">
        <v>100</v>
      </c>
      <c r="E128" s="95">
        <v>0.8</v>
      </c>
      <c r="F128" s="95">
        <v>0.1</v>
      </c>
      <c r="G128" s="95">
        <v>1.7</v>
      </c>
      <c r="H128" s="95">
        <v>13</v>
      </c>
      <c r="I128" s="77">
        <v>5</v>
      </c>
      <c r="J128" s="96">
        <v>23</v>
      </c>
      <c r="K128" s="78">
        <v>14</v>
      </c>
      <c r="L128" s="97">
        <v>0.6</v>
      </c>
      <c r="M128" s="1"/>
      <c r="N128" s="1"/>
    </row>
    <row r="129" spans="1:14" ht="22.5" customHeight="1" thickBot="1" x14ac:dyDescent="0.3">
      <c r="A129" s="1"/>
      <c r="B129" s="119" t="s">
        <v>71</v>
      </c>
      <c r="C129" s="99" t="s">
        <v>124</v>
      </c>
      <c r="D129" s="100">
        <v>250</v>
      </c>
      <c r="E129" s="101">
        <f>1.87*250/200</f>
        <v>2.3374999999999999</v>
      </c>
      <c r="F129" s="101">
        <f>3.8*250/200</f>
        <v>4.75</v>
      </c>
      <c r="G129" s="101">
        <f>13.78*250/200</f>
        <v>17.225000000000001</v>
      </c>
      <c r="H129" s="101">
        <f>97.07*250/200</f>
        <v>121.33750000000001</v>
      </c>
      <c r="I129" s="77">
        <f>13.59*250/200</f>
        <v>16.987500000000001</v>
      </c>
      <c r="J129" s="103">
        <f>35.24*250/200</f>
        <v>44.05</v>
      </c>
      <c r="K129" s="73">
        <f>24.39*250/200</f>
        <v>30.487500000000001</v>
      </c>
      <c r="L129" s="74">
        <f>1.21*250/200</f>
        <v>1.5125</v>
      </c>
      <c r="M129" s="1"/>
      <c r="N129" s="1"/>
    </row>
    <row r="130" spans="1:14" ht="22.5" customHeight="1" thickBot="1" x14ac:dyDescent="0.3">
      <c r="A130" s="1"/>
      <c r="B130" s="69" t="s">
        <v>99</v>
      </c>
      <c r="C130" s="70" t="s">
        <v>98</v>
      </c>
      <c r="D130" s="71">
        <v>250</v>
      </c>
      <c r="E130" s="72">
        <f>14.35*250/200</f>
        <v>17.9375</v>
      </c>
      <c r="F130" s="72">
        <f>13.39*250/200</f>
        <v>16.737500000000001</v>
      </c>
      <c r="G130" s="72">
        <f>20.26*250/200</f>
        <v>25.324999999999999</v>
      </c>
      <c r="H130" s="72">
        <f>248*250/200</f>
        <v>310</v>
      </c>
      <c r="I130" s="74">
        <f>12.94*250/200</f>
        <v>16.175000000000001</v>
      </c>
      <c r="J130" s="96">
        <f>42.05*250/200</f>
        <v>52.5625</v>
      </c>
      <c r="K130" s="72">
        <f>44.22*250/200</f>
        <v>55.274999999999999</v>
      </c>
      <c r="L130" s="74">
        <f>2.19*250/200</f>
        <v>2.7374999999999998</v>
      </c>
      <c r="M130" s="1"/>
      <c r="N130" s="1"/>
    </row>
    <row r="131" spans="1:14" ht="22.5" customHeight="1" thickBot="1" x14ac:dyDescent="0.3">
      <c r="A131" s="1"/>
      <c r="B131" s="98" t="s">
        <v>14</v>
      </c>
      <c r="C131" s="99" t="s">
        <v>46</v>
      </c>
      <c r="D131" s="100">
        <v>40</v>
      </c>
      <c r="E131" s="101">
        <v>3.04</v>
      </c>
      <c r="F131" s="101">
        <v>0.32</v>
      </c>
      <c r="G131" s="101">
        <v>19.68</v>
      </c>
      <c r="H131" s="101">
        <v>94</v>
      </c>
      <c r="I131" s="77">
        <v>0</v>
      </c>
      <c r="J131" s="103">
        <v>9.1999999999999993</v>
      </c>
      <c r="K131" s="78">
        <v>13.2</v>
      </c>
      <c r="L131" s="74">
        <v>0.76</v>
      </c>
      <c r="M131" s="1"/>
      <c r="N131" s="1"/>
    </row>
    <row r="132" spans="1:14" ht="22.5" customHeight="1" thickBot="1" x14ac:dyDescent="0.3">
      <c r="A132" s="1"/>
      <c r="B132" s="69" t="s">
        <v>16</v>
      </c>
      <c r="C132" s="75" t="s">
        <v>47</v>
      </c>
      <c r="D132" s="76">
        <v>30</v>
      </c>
      <c r="E132" s="77">
        <v>1.98</v>
      </c>
      <c r="F132" s="77">
        <v>0.36</v>
      </c>
      <c r="G132" s="77">
        <v>10.02</v>
      </c>
      <c r="H132" s="101">
        <v>52.2</v>
      </c>
      <c r="I132" s="74">
        <v>0</v>
      </c>
      <c r="J132" s="96">
        <v>9.9</v>
      </c>
      <c r="K132" s="78">
        <v>17.100000000000001</v>
      </c>
      <c r="L132" s="74">
        <v>1.35</v>
      </c>
      <c r="M132" s="1"/>
      <c r="N132" s="1"/>
    </row>
    <row r="133" spans="1:14" ht="22.5" customHeight="1" thickBot="1" x14ac:dyDescent="0.3">
      <c r="A133" s="1"/>
      <c r="B133" s="69" t="s">
        <v>106</v>
      </c>
      <c r="C133" s="99" t="s">
        <v>107</v>
      </c>
      <c r="D133" s="143">
        <v>180</v>
      </c>
      <c r="E133" s="78">
        <v>0.46</v>
      </c>
      <c r="F133" s="78">
        <v>0.19</v>
      </c>
      <c r="G133" s="78">
        <v>9.2200000000000006</v>
      </c>
      <c r="H133" s="78">
        <v>49.11</v>
      </c>
      <c r="I133" s="77">
        <v>135</v>
      </c>
      <c r="J133" s="103">
        <v>8.18</v>
      </c>
      <c r="K133" s="78">
        <v>2.2999999999999998</v>
      </c>
      <c r="L133" s="74">
        <v>0.41</v>
      </c>
      <c r="M133" s="1"/>
      <c r="N133" s="1"/>
    </row>
    <row r="134" spans="1:14" ht="30" customHeight="1" thickBot="1" x14ac:dyDescent="0.35">
      <c r="A134" s="1"/>
      <c r="B134" s="98"/>
      <c r="C134" s="127" t="s">
        <v>2</v>
      </c>
      <c r="D134" s="128">
        <f t="shared" ref="D134:L134" si="19">SUM(D128:D133)</f>
        <v>850</v>
      </c>
      <c r="E134" s="139">
        <f t="shared" si="19"/>
        <v>26.555</v>
      </c>
      <c r="F134" s="139">
        <f t="shared" si="19"/>
        <v>22.4575</v>
      </c>
      <c r="G134" s="139">
        <f t="shared" si="19"/>
        <v>83.17</v>
      </c>
      <c r="H134" s="139">
        <f t="shared" si="19"/>
        <v>639.64750000000004</v>
      </c>
      <c r="I134" s="139">
        <f t="shared" si="19"/>
        <v>173.16249999999999</v>
      </c>
      <c r="J134" s="139">
        <f t="shared" si="19"/>
        <v>146.89250000000001</v>
      </c>
      <c r="K134" s="139">
        <f t="shared" si="19"/>
        <v>132.36250000000001</v>
      </c>
      <c r="L134" s="123">
        <f t="shared" si="19"/>
        <v>7.3699999999999992</v>
      </c>
      <c r="M134" s="1"/>
      <c r="N134" s="1"/>
    </row>
    <row r="135" spans="1:14" ht="30.75" customHeight="1" thickBot="1" x14ac:dyDescent="0.35">
      <c r="A135" s="1"/>
      <c r="B135" s="69"/>
      <c r="C135" s="81" t="s">
        <v>3</v>
      </c>
      <c r="D135" s="106">
        <f t="shared" ref="D135:L135" si="20">D134+D126</f>
        <v>1400</v>
      </c>
      <c r="E135" s="107">
        <f t="shared" si="20"/>
        <v>46.545000000000002</v>
      </c>
      <c r="F135" s="107">
        <f t="shared" si="20"/>
        <v>38.212499999999999</v>
      </c>
      <c r="G135" s="107">
        <f t="shared" si="20"/>
        <v>167.63350000000003</v>
      </c>
      <c r="H135" s="107">
        <f t="shared" si="20"/>
        <v>1209.2975000000001</v>
      </c>
      <c r="I135" s="107">
        <f t="shared" si="20"/>
        <v>177.4725</v>
      </c>
      <c r="J135" s="107">
        <f t="shared" si="20"/>
        <v>418.07000000000005</v>
      </c>
      <c r="K135" s="107">
        <f t="shared" si="20"/>
        <v>244.48750000000001</v>
      </c>
      <c r="L135" s="83">
        <f t="shared" si="20"/>
        <v>12.192499999999999</v>
      </c>
      <c r="M135" s="1"/>
      <c r="N135" s="1"/>
    </row>
    <row r="136" spans="1:14" ht="32.25" customHeight="1" thickBot="1" x14ac:dyDescent="0.3">
      <c r="A136" s="1"/>
      <c r="B136" s="18" t="s">
        <v>24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66"/>
      <c r="M136" s="1"/>
      <c r="N136" s="1"/>
    </row>
    <row r="137" spans="1:14" ht="22.5" customHeight="1" thickBot="1" x14ac:dyDescent="0.3">
      <c r="A137" s="1"/>
      <c r="B137" s="195" t="s">
        <v>4</v>
      </c>
      <c r="C137" s="197" t="s">
        <v>0</v>
      </c>
      <c r="D137" s="197" t="s">
        <v>35</v>
      </c>
      <c r="E137" s="202" t="s">
        <v>12</v>
      </c>
      <c r="F137" s="203"/>
      <c r="G137" s="203"/>
      <c r="H137" s="204"/>
      <c r="I137" s="205" t="s">
        <v>40</v>
      </c>
      <c r="J137" s="199" t="s">
        <v>41</v>
      </c>
      <c r="K137" s="199" t="s">
        <v>42</v>
      </c>
      <c r="L137" s="199" t="s">
        <v>44</v>
      </c>
      <c r="M137" s="1"/>
      <c r="N137" s="1"/>
    </row>
    <row r="138" spans="1:14" ht="39" customHeight="1" thickBot="1" x14ac:dyDescent="0.3">
      <c r="A138" s="1"/>
      <c r="B138" s="196"/>
      <c r="C138" s="198"/>
      <c r="D138" s="198"/>
      <c r="E138" s="61" t="s">
        <v>36</v>
      </c>
      <c r="F138" s="61" t="s">
        <v>37</v>
      </c>
      <c r="G138" s="61" t="s">
        <v>38</v>
      </c>
      <c r="H138" s="61" t="s">
        <v>39</v>
      </c>
      <c r="I138" s="206"/>
      <c r="J138" s="200"/>
      <c r="K138" s="200"/>
      <c r="L138" s="200"/>
      <c r="M138" s="1"/>
      <c r="N138" s="1"/>
    </row>
    <row r="139" spans="1:14" ht="22.5" customHeight="1" thickBot="1" x14ac:dyDescent="0.3">
      <c r="A139" s="1"/>
      <c r="B139" s="13" t="s">
        <v>29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63"/>
      <c r="M139" s="1"/>
      <c r="N139" s="1"/>
    </row>
    <row r="140" spans="1:14" ht="27" customHeight="1" thickBot="1" x14ac:dyDescent="0.3">
      <c r="A140" s="1"/>
      <c r="B140" s="69" t="s">
        <v>87</v>
      </c>
      <c r="C140" s="93" t="s">
        <v>59</v>
      </c>
      <c r="D140" s="94">
        <v>250</v>
      </c>
      <c r="E140" s="101">
        <v>6.94</v>
      </c>
      <c r="F140" s="101">
        <v>12.18</v>
      </c>
      <c r="G140" s="101">
        <v>48.13</v>
      </c>
      <c r="H140" s="101">
        <v>330.68</v>
      </c>
      <c r="I140" s="101">
        <v>1.32</v>
      </c>
      <c r="J140" s="101">
        <v>152.35</v>
      </c>
      <c r="K140" s="104">
        <v>23.06</v>
      </c>
      <c r="L140" s="77">
        <v>0.56000000000000005</v>
      </c>
      <c r="M140" s="1"/>
      <c r="N140" s="1"/>
    </row>
    <row r="141" spans="1:14" ht="27" customHeight="1" thickBot="1" x14ac:dyDescent="0.3">
      <c r="A141" s="1"/>
      <c r="B141" s="69" t="s">
        <v>93</v>
      </c>
      <c r="C141" s="70" t="s">
        <v>130</v>
      </c>
      <c r="D141" s="71">
        <v>20</v>
      </c>
      <c r="E141" s="72">
        <v>1.5</v>
      </c>
      <c r="F141" s="72">
        <v>1.96</v>
      </c>
      <c r="G141" s="72">
        <v>14.88</v>
      </c>
      <c r="H141" s="72">
        <v>82.8</v>
      </c>
      <c r="I141" s="72">
        <v>0</v>
      </c>
      <c r="J141" s="72">
        <v>5.8</v>
      </c>
      <c r="K141" s="73">
        <v>8</v>
      </c>
      <c r="L141" s="74">
        <v>0.42</v>
      </c>
      <c r="M141" s="1"/>
      <c r="N141" s="1"/>
    </row>
    <row r="142" spans="1:14" ht="25.5" customHeight="1" thickBot="1" x14ac:dyDescent="0.3">
      <c r="A142" s="1"/>
      <c r="B142" s="69" t="s">
        <v>14</v>
      </c>
      <c r="C142" s="75" t="s">
        <v>46</v>
      </c>
      <c r="D142" s="76">
        <v>50</v>
      </c>
      <c r="E142" s="77">
        <v>3.8</v>
      </c>
      <c r="F142" s="77">
        <v>0.4</v>
      </c>
      <c r="G142" s="77">
        <v>24.6</v>
      </c>
      <c r="H142" s="77">
        <v>117.5</v>
      </c>
      <c r="I142" s="77">
        <v>0</v>
      </c>
      <c r="J142" s="77">
        <v>11.5</v>
      </c>
      <c r="K142" s="78">
        <v>16.5</v>
      </c>
      <c r="L142" s="74">
        <v>0.95</v>
      </c>
      <c r="M142" s="1"/>
      <c r="N142" s="1"/>
    </row>
    <row r="143" spans="1:14" ht="25.5" customHeight="1" thickBot="1" x14ac:dyDescent="0.3">
      <c r="A143" s="1"/>
      <c r="B143" s="69" t="s">
        <v>16</v>
      </c>
      <c r="C143" s="75" t="s">
        <v>47</v>
      </c>
      <c r="D143" s="100">
        <v>30</v>
      </c>
      <c r="E143" s="101">
        <v>1.98</v>
      </c>
      <c r="F143" s="101">
        <v>0.36</v>
      </c>
      <c r="G143" s="101">
        <v>10.02</v>
      </c>
      <c r="H143" s="101">
        <v>52.2</v>
      </c>
      <c r="I143" s="101">
        <v>0</v>
      </c>
      <c r="J143" s="101">
        <v>9.9</v>
      </c>
      <c r="K143" s="78">
        <v>17.100000000000001</v>
      </c>
      <c r="L143" s="74">
        <v>1.35</v>
      </c>
      <c r="M143" s="1"/>
      <c r="N143" s="1"/>
    </row>
    <row r="144" spans="1:14" ht="24.75" customHeight="1" thickBot="1" x14ac:dyDescent="0.3">
      <c r="A144" s="1"/>
      <c r="B144" s="69" t="s">
        <v>13</v>
      </c>
      <c r="C144" s="75" t="s">
        <v>49</v>
      </c>
      <c r="D144" s="100">
        <v>200</v>
      </c>
      <c r="E144" s="101">
        <v>0</v>
      </c>
      <c r="F144" s="101">
        <v>0</v>
      </c>
      <c r="G144" s="101">
        <v>6.9860000000000007</v>
      </c>
      <c r="H144" s="101">
        <v>27.93</v>
      </c>
      <c r="I144" s="101">
        <v>0.05</v>
      </c>
      <c r="J144" s="101">
        <v>2.69</v>
      </c>
      <c r="K144" s="78">
        <v>2.2000000000000002</v>
      </c>
      <c r="L144" s="74">
        <v>0.43</v>
      </c>
      <c r="M144" s="1"/>
      <c r="N144" s="1"/>
    </row>
    <row r="145" spans="1:14" ht="30" customHeight="1" thickBot="1" x14ac:dyDescent="0.35">
      <c r="A145" s="1"/>
      <c r="B145" s="148"/>
      <c r="C145" s="149" t="s">
        <v>30</v>
      </c>
      <c r="D145" s="82">
        <f t="shared" ref="D145:L145" si="21">SUM(D140:D144)</f>
        <v>550</v>
      </c>
      <c r="E145" s="83">
        <f t="shared" si="21"/>
        <v>14.220000000000002</v>
      </c>
      <c r="F145" s="147">
        <f t="shared" si="21"/>
        <v>14.9</v>
      </c>
      <c r="G145" s="83">
        <f t="shared" si="21"/>
        <v>104.61600000000001</v>
      </c>
      <c r="H145" s="83">
        <f t="shared" si="21"/>
        <v>611.11</v>
      </c>
      <c r="I145" s="147">
        <f t="shared" si="21"/>
        <v>1.37</v>
      </c>
      <c r="J145" s="83">
        <f t="shared" si="21"/>
        <v>182.24</v>
      </c>
      <c r="K145" s="147">
        <f t="shared" si="21"/>
        <v>66.86</v>
      </c>
      <c r="L145" s="83">
        <f t="shared" si="21"/>
        <v>3.7100000000000004</v>
      </c>
      <c r="M145" s="1"/>
      <c r="N145" s="1"/>
    </row>
    <row r="146" spans="1:14" ht="22.5" customHeight="1" thickBot="1" x14ac:dyDescent="0.3">
      <c r="A146" s="1"/>
      <c r="B146" s="88" t="s">
        <v>1</v>
      </c>
      <c r="C146" s="89"/>
      <c r="D146" s="90"/>
      <c r="E146" s="89"/>
      <c r="F146" s="89"/>
      <c r="G146" s="89"/>
      <c r="H146" s="89"/>
      <c r="I146" s="89"/>
      <c r="J146" s="89"/>
      <c r="K146" s="89"/>
      <c r="L146" s="91"/>
      <c r="M146" s="1"/>
      <c r="N146" s="1"/>
    </row>
    <row r="147" spans="1:14" ht="22.5" customHeight="1" thickBot="1" x14ac:dyDescent="0.3">
      <c r="A147" s="1"/>
      <c r="B147" s="135" t="s">
        <v>97</v>
      </c>
      <c r="C147" s="136" t="s">
        <v>129</v>
      </c>
      <c r="D147" s="137">
        <v>100</v>
      </c>
      <c r="E147" s="77">
        <f>0.42*100/60</f>
        <v>0.7</v>
      </c>
      <c r="F147" s="77">
        <f>0.06*100/60</f>
        <v>0.1</v>
      </c>
      <c r="G147" s="77">
        <f>1.14*100/60</f>
        <v>1.8999999999999997</v>
      </c>
      <c r="H147" s="77">
        <f>6.6*100/60</f>
        <v>11</v>
      </c>
      <c r="I147" s="77">
        <f>6*100/60</f>
        <v>10</v>
      </c>
      <c r="J147" s="118">
        <f>13.8*100/60</f>
        <v>23</v>
      </c>
      <c r="K147" s="73">
        <f>8.4*100/60</f>
        <v>14</v>
      </c>
      <c r="L147" s="74">
        <f>0.54*100/60</f>
        <v>0.9</v>
      </c>
      <c r="M147" s="1"/>
      <c r="N147" s="1"/>
    </row>
    <row r="148" spans="1:14" ht="22.5" customHeight="1" thickBot="1" x14ac:dyDescent="0.3">
      <c r="A148" s="1"/>
      <c r="B148" s="98" t="s">
        <v>15</v>
      </c>
      <c r="C148" s="99" t="s">
        <v>54</v>
      </c>
      <c r="D148" s="100">
        <v>250</v>
      </c>
      <c r="E148" s="101">
        <v>5.87</v>
      </c>
      <c r="F148" s="101">
        <v>5.55</v>
      </c>
      <c r="G148" s="101">
        <v>19.27</v>
      </c>
      <c r="H148" s="74">
        <v>150.85</v>
      </c>
      <c r="I148" s="78">
        <v>11.5</v>
      </c>
      <c r="J148" s="86">
        <v>61.25</v>
      </c>
      <c r="K148" s="78">
        <v>38.26</v>
      </c>
      <c r="L148" s="87">
        <v>2.5</v>
      </c>
      <c r="M148" s="1"/>
      <c r="N148" s="1"/>
    </row>
    <row r="149" spans="1:14" ht="22.5" customHeight="1" thickBot="1" x14ac:dyDescent="0.3">
      <c r="A149" s="1"/>
      <c r="B149" s="98" t="s">
        <v>86</v>
      </c>
      <c r="C149" s="99" t="s">
        <v>83</v>
      </c>
      <c r="D149" s="100">
        <v>250</v>
      </c>
      <c r="E149" s="101">
        <v>20.484000000000002</v>
      </c>
      <c r="F149" s="101">
        <v>23.784000000000002</v>
      </c>
      <c r="G149" s="101">
        <v>37.716000000000001</v>
      </c>
      <c r="H149" s="101">
        <v>446.66399999999999</v>
      </c>
      <c r="I149" s="77">
        <v>20.555999999999997</v>
      </c>
      <c r="J149" s="103">
        <v>169.63200000000001</v>
      </c>
      <c r="K149" s="78">
        <v>61.308</v>
      </c>
      <c r="L149" s="74">
        <v>1.776</v>
      </c>
      <c r="M149" s="1"/>
      <c r="N149" s="1"/>
    </row>
    <row r="150" spans="1:14" ht="22.5" customHeight="1" thickBot="1" x14ac:dyDescent="0.3">
      <c r="A150" s="1"/>
      <c r="B150" s="98" t="s">
        <v>14</v>
      </c>
      <c r="C150" s="99" t="s">
        <v>46</v>
      </c>
      <c r="D150" s="100">
        <v>40</v>
      </c>
      <c r="E150" s="101">
        <v>3.04</v>
      </c>
      <c r="F150" s="101">
        <v>0.32</v>
      </c>
      <c r="G150" s="101">
        <v>19.68</v>
      </c>
      <c r="H150" s="101">
        <v>94</v>
      </c>
      <c r="I150" s="77">
        <v>0</v>
      </c>
      <c r="J150" s="103">
        <v>9.1999999999999993</v>
      </c>
      <c r="K150" s="78">
        <v>13.2</v>
      </c>
      <c r="L150" s="74">
        <v>0.76</v>
      </c>
      <c r="M150" s="1"/>
      <c r="N150" s="1"/>
    </row>
    <row r="151" spans="1:14" ht="22.5" customHeight="1" thickBot="1" x14ac:dyDescent="0.3">
      <c r="A151" s="1"/>
      <c r="B151" s="69" t="s">
        <v>16</v>
      </c>
      <c r="C151" s="75" t="s">
        <v>47</v>
      </c>
      <c r="D151" s="76">
        <v>30</v>
      </c>
      <c r="E151" s="77">
        <v>1.98</v>
      </c>
      <c r="F151" s="77">
        <v>0.36</v>
      </c>
      <c r="G151" s="77">
        <v>10.02</v>
      </c>
      <c r="H151" s="101">
        <v>52.2</v>
      </c>
      <c r="I151" s="74">
        <v>0</v>
      </c>
      <c r="J151" s="96">
        <v>9.9</v>
      </c>
      <c r="K151" s="78">
        <v>17.100000000000001</v>
      </c>
      <c r="L151" s="74">
        <v>1.35</v>
      </c>
      <c r="M151" s="1"/>
      <c r="N151" s="1"/>
    </row>
    <row r="152" spans="1:14" ht="22.5" customHeight="1" thickBot="1" x14ac:dyDescent="0.3">
      <c r="A152" s="1"/>
      <c r="B152" s="69" t="s">
        <v>27</v>
      </c>
      <c r="C152" s="75" t="s">
        <v>112</v>
      </c>
      <c r="D152" s="76">
        <v>180</v>
      </c>
      <c r="E152" s="77">
        <v>1.04</v>
      </c>
      <c r="F152" s="77">
        <v>0.27</v>
      </c>
      <c r="G152" s="77">
        <v>42.53</v>
      </c>
      <c r="H152" s="101">
        <v>176.74</v>
      </c>
      <c r="I152" s="74">
        <v>0.72</v>
      </c>
      <c r="J152" s="96">
        <v>5.26</v>
      </c>
      <c r="K152" s="78">
        <v>30.03</v>
      </c>
      <c r="L152" s="74">
        <v>0.86</v>
      </c>
      <c r="M152" s="1"/>
      <c r="N152" s="1"/>
    </row>
    <row r="153" spans="1:14" ht="32.25" customHeight="1" thickBot="1" x14ac:dyDescent="0.35">
      <c r="A153" s="1"/>
      <c r="B153" s="150"/>
      <c r="C153" s="127" t="s">
        <v>2</v>
      </c>
      <c r="D153" s="128">
        <f t="shared" ref="D153:L153" si="22">SUM(D147:D152)</f>
        <v>850</v>
      </c>
      <c r="E153" s="139">
        <f t="shared" si="22"/>
        <v>33.113999999999997</v>
      </c>
      <c r="F153" s="139">
        <f t="shared" si="22"/>
        <v>30.384</v>
      </c>
      <c r="G153" s="139">
        <f t="shared" si="22"/>
        <v>131.11599999999999</v>
      </c>
      <c r="H153" s="139">
        <f t="shared" si="22"/>
        <v>931.45400000000006</v>
      </c>
      <c r="I153" s="83">
        <f t="shared" si="22"/>
        <v>42.775999999999996</v>
      </c>
      <c r="J153" s="147">
        <f t="shared" si="22"/>
        <v>278.24199999999996</v>
      </c>
      <c r="K153" s="123">
        <f t="shared" si="22"/>
        <v>173.898</v>
      </c>
      <c r="L153" s="83">
        <f t="shared" si="22"/>
        <v>8.145999999999999</v>
      </c>
      <c r="M153" s="1"/>
      <c r="N153" s="1"/>
    </row>
    <row r="154" spans="1:14" ht="30.75" customHeight="1" thickBot="1" x14ac:dyDescent="0.35">
      <c r="A154" s="1"/>
      <c r="B154" s="105"/>
      <c r="C154" s="81" t="s">
        <v>3</v>
      </c>
      <c r="D154" s="106">
        <f t="shared" ref="D154:L154" si="23">D153+D145</f>
        <v>1400</v>
      </c>
      <c r="E154" s="107">
        <f t="shared" si="23"/>
        <v>47.334000000000003</v>
      </c>
      <c r="F154" s="107">
        <f t="shared" si="23"/>
        <v>45.283999999999999</v>
      </c>
      <c r="G154" s="107">
        <f t="shared" si="23"/>
        <v>235.732</v>
      </c>
      <c r="H154" s="107">
        <f t="shared" si="23"/>
        <v>1542.5640000000001</v>
      </c>
      <c r="I154" s="107">
        <f t="shared" si="23"/>
        <v>44.145999999999994</v>
      </c>
      <c r="J154" s="107">
        <f t="shared" si="23"/>
        <v>460.48199999999997</v>
      </c>
      <c r="K154" s="107">
        <f t="shared" si="23"/>
        <v>240.75799999999998</v>
      </c>
      <c r="L154" s="83">
        <f t="shared" si="23"/>
        <v>11.856</v>
      </c>
      <c r="M154" s="1"/>
      <c r="N154" s="1"/>
    </row>
    <row r="155" spans="1:14" ht="30" customHeight="1" thickBot="1" x14ac:dyDescent="0.3">
      <c r="A155" s="1"/>
      <c r="B155" s="18" t="s">
        <v>25</v>
      </c>
      <c r="C155" s="48"/>
      <c r="D155" s="48"/>
      <c r="E155" s="48"/>
      <c r="F155" s="48"/>
      <c r="G155" s="48"/>
      <c r="H155" s="48"/>
      <c r="I155" s="48"/>
      <c r="J155" s="48"/>
      <c r="K155" s="48"/>
      <c r="L155" s="66"/>
      <c r="M155" s="1"/>
      <c r="N155" s="1"/>
    </row>
    <row r="156" spans="1:14" ht="22.5" customHeight="1" thickBot="1" x14ac:dyDescent="0.3">
      <c r="A156" s="1"/>
      <c r="B156" s="195" t="s">
        <v>4</v>
      </c>
      <c r="C156" s="197" t="s">
        <v>0</v>
      </c>
      <c r="D156" s="197" t="s">
        <v>35</v>
      </c>
      <c r="E156" s="202" t="s">
        <v>12</v>
      </c>
      <c r="F156" s="203"/>
      <c r="G156" s="203"/>
      <c r="H156" s="204"/>
      <c r="I156" s="205" t="s">
        <v>40</v>
      </c>
      <c r="J156" s="199" t="s">
        <v>41</v>
      </c>
      <c r="K156" s="199" t="s">
        <v>42</v>
      </c>
      <c r="L156" s="199" t="s">
        <v>44</v>
      </c>
      <c r="M156" s="1"/>
      <c r="N156" s="1"/>
    </row>
    <row r="157" spans="1:14" ht="39" customHeight="1" thickBot="1" x14ac:dyDescent="0.3">
      <c r="A157" s="1"/>
      <c r="B157" s="196"/>
      <c r="C157" s="198"/>
      <c r="D157" s="198"/>
      <c r="E157" s="61" t="s">
        <v>36</v>
      </c>
      <c r="F157" s="61" t="s">
        <v>37</v>
      </c>
      <c r="G157" s="61" t="s">
        <v>38</v>
      </c>
      <c r="H157" s="61" t="s">
        <v>39</v>
      </c>
      <c r="I157" s="206"/>
      <c r="J157" s="200"/>
      <c r="K157" s="200"/>
      <c r="L157" s="200"/>
      <c r="M157" s="1"/>
      <c r="N157" s="1"/>
    </row>
    <row r="158" spans="1:14" ht="22.5" customHeight="1" thickBot="1" x14ac:dyDescent="0.3">
      <c r="A158" s="1"/>
      <c r="B158" s="13" t="s">
        <v>29</v>
      </c>
      <c r="C158" s="39"/>
      <c r="D158" s="39"/>
      <c r="E158" s="39"/>
      <c r="F158" s="39"/>
      <c r="G158" s="39"/>
      <c r="H158" s="39"/>
      <c r="I158" s="39"/>
      <c r="J158" s="39"/>
      <c r="K158" s="39"/>
      <c r="L158" s="63"/>
      <c r="M158" s="1"/>
      <c r="N158" s="1"/>
    </row>
    <row r="159" spans="1:14" ht="22.5" customHeight="1" thickBot="1" x14ac:dyDescent="0.3">
      <c r="A159" s="1"/>
      <c r="B159" s="98" t="s">
        <v>80</v>
      </c>
      <c r="C159" s="99" t="s">
        <v>115</v>
      </c>
      <c r="D159" s="100">
        <v>100</v>
      </c>
      <c r="E159" s="101">
        <v>1.4333333333333333</v>
      </c>
      <c r="F159" s="101">
        <v>5.083333333333333</v>
      </c>
      <c r="G159" s="101">
        <v>8.5500000000000007</v>
      </c>
      <c r="H159" s="101">
        <v>83.55</v>
      </c>
      <c r="I159" s="72">
        <v>27.05</v>
      </c>
      <c r="J159" s="72">
        <v>29.033333333333339</v>
      </c>
      <c r="K159" s="72">
        <v>17.166666666666668</v>
      </c>
      <c r="L159" s="74">
        <v>12</v>
      </c>
      <c r="M159" s="1"/>
      <c r="N159" s="1"/>
    </row>
    <row r="160" spans="1:14" ht="22.5" customHeight="1" thickBot="1" x14ac:dyDescent="0.3">
      <c r="A160" s="1"/>
      <c r="B160" s="69" t="s">
        <v>74</v>
      </c>
      <c r="C160" s="70" t="s">
        <v>75</v>
      </c>
      <c r="D160" s="71">
        <v>200</v>
      </c>
      <c r="E160" s="72">
        <v>7.27</v>
      </c>
      <c r="F160" s="72">
        <v>7.71</v>
      </c>
      <c r="G160" s="72">
        <v>40.6</v>
      </c>
      <c r="H160" s="72">
        <v>260.56</v>
      </c>
      <c r="I160" s="72">
        <v>0</v>
      </c>
      <c r="J160" s="72">
        <v>16.190000000000001</v>
      </c>
      <c r="K160" s="73">
        <v>10.86</v>
      </c>
      <c r="L160" s="74">
        <v>1.08</v>
      </c>
      <c r="M160" s="1"/>
      <c r="N160" s="1"/>
    </row>
    <row r="161" spans="1:14" ht="22.5" customHeight="1" thickBot="1" x14ac:dyDescent="0.3">
      <c r="A161" s="1"/>
      <c r="B161" s="69" t="s">
        <v>14</v>
      </c>
      <c r="C161" s="70" t="s">
        <v>46</v>
      </c>
      <c r="D161" s="71">
        <v>50</v>
      </c>
      <c r="E161" s="72">
        <v>3.8</v>
      </c>
      <c r="F161" s="72">
        <v>0.4</v>
      </c>
      <c r="G161" s="72">
        <v>24.6</v>
      </c>
      <c r="H161" s="72">
        <v>117.5</v>
      </c>
      <c r="I161" s="72">
        <v>0</v>
      </c>
      <c r="J161" s="72">
        <v>11.5</v>
      </c>
      <c r="K161" s="73">
        <v>16.5</v>
      </c>
      <c r="L161" s="74">
        <v>0.95</v>
      </c>
      <c r="M161" s="1"/>
      <c r="N161" s="1"/>
    </row>
    <row r="162" spans="1:14" ht="22.5" customHeight="1" thickBot="1" x14ac:dyDescent="0.3">
      <c r="A162" s="1"/>
      <c r="B162" s="69" t="s">
        <v>16</v>
      </c>
      <c r="C162" s="75" t="s">
        <v>47</v>
      </c>
      <c r="D162" s="76">
        <v>40</v>
      </c>
      <c r="E162" s="77">
        <v>2.64</v>
      </c>
      <c r="F162" s="77">
        <v>0.48</v>
      </c>
      <c r="G162" s="77">
        <v>13.36</v>
      </c>
      <c r="H162" s="77">
        <v>69.599999999999994</v>
      </c>
      <c r="I162" s="77">
        <v>0</v>
      </c>
      <c r="J162" s="77">
        <v>13.2</v>
      </c>
      <c r="K162" s="78">
        <v>22.8</v>
      </c>
      <c r="L162" s="74">
        <v>1.8</v>
      </c>
      <c r="M162" s="1"/>
      <c r="N162" s="1"/>
    </row>
    <row r="163" spans="1:14" ht="22.5" customHeight="1" thickBot="1" x14ac:dyDescent="0.3">
      <c r="A163" s="1"/>
      <c r="B163" s="69" t="s">
        <v>13</v>
      </c>
      <c r="C163" s="75" t="s">
        <v>49</v>
      </c>
      <c r="D163" s="100">
        <v>200</v>
      </c>
      <c r="E163" s="101">
        <v>0</v>
      </c>
      <c r="F163" s="101">
        <v>0</v>
      </c>
      <c r="G163" s="101">
        <v>6.9860000000000007</v>
      </c>
      <c r="H163" s="101">
        <v>27.93</v>
      </c>
      <c r="I163" s="101">
        <v>0.05</v>
      </c>
      <c r="J163" s="101">
        <v>2.69</v>
      </c>
      <c r="K163" s="78">
        <v>2.2000000000000002</v>
      </c>
      <c r="L163" s="74">
        <v>0.43</v>
      </c>
      <c r="M163" s="1"/>
      <c r="N163" s="1"/>
    </row>
    <row r="164" spans="1:14" ht="31.5" customHeight="1" thickBot="1" x14ac:dyDescent="0.35">
      <c r="A164" s="1"/>
      <c r="B164" s="148"/>
      <c r="C164" s="151" t="s">
        <v>30</v>
      </c>
      <c r="D164" s="82">
        <f t="shared" ref="D164:L164" si="24">SUM(D159:D163)</f>
        <v>590</v>
      </c>
      <c r="E164" s="109">
        <f t="shared" si="24"/>
        <v>15.143333333333334</v>
      </c>
      <c r="F164" s="83">
        <f t="shared" si="24"/>
        <v>13.673333333333334</v>
      </c>
      <c r="G164" s="83">
        <f t="shared" si="24"/>
        <v>94.096000000000004</v>
      </c>
      <c r="H164" s="109">
        <f t="shared" si="24"/>
        <v>559.14</v>
      </c>
      <c r="I164" s="83">
        <f t="shared" si="24"/>
        <v>27.1</v>
      </c>
      <c r="J164" s="109">
        <f t="shared" si="24"/>
        <v>72.613333333333344</v>
      </c>
      <c r="K164" s="83">
        <f t="shared" si="24"/>
        <v>69.526666666666671</v>
      </c>
      <c r="L164" s="152">
        <f t="shared" si="24"/>
        <v>16.260000000000002</v>
      </c>
      <c r="M164" s="1"/>
      <c r="N164" s="1"/>
    </row>
    <row r="165" spans="1:14" ht="22.5" customHeight="1" thickBot="1" x14ac:dyDescent="0.3">
      <c r="A165" s="1"/>
      <c r="B165" s="88" t="s">
        <v>1</v>
      </c>
      <c r="C165" s="89"/>
      <c r="D165" s="90"/>
      <c r="E165" s="89"/>
      <c r="F165" s="89"/>
      <c r="G165" s="89"/>
      <c r="H165" s="89"/>
      <c r="I165" s="89"/>
      <c r="J165" s="89"/>
      <c r="K165" s="89"/>
      <c r="L165" s="91"/>
      <c r="M165" s="1"/>
      <c r="N165" s="1"/>
    </row>
    <row r="166" spans="1:14" ht="24" customHeight="1" thickBot="1" x14ac:dyDescent="0.3">
      <c r="A166" s="1"/>
      <c r="B166" s="98" t="s">
        <v>125</v>
      </c>
      <c r="C166" s="99" t="s">
        <v>126</v>
      </c>
      <c r="D166" s="100">
        <v>60</v>
      </c>
      <c r="E166" s="101">
        <v>0.86</v>
      </c>
      <c r="F166" s="101">
        <v>3.05</v>
      </c>
      <c r="G166" s="101">
        <v>5.13</v>
      </c>
      <c r="H166" s="101">
        <v>50.13</v>
      </c>
      <c r="I166" s="77">
        <v>16.23</v>
      </c>
      <c r="J166" s="103">
        <v>17.420000000000002</v>
      </c>
      <c r="K166" s="77">
        <v>10.3</v>
      </c>
      <c r="L166" s="77">
        <v>7.2</v>
      </c>
      <c r="M166" s="1"/>
      <c r="N166" s="1"/>
    </row>
    <row r="167" spans="1:14" ht="24" customHeight="1" thickBot="1" x14ac:dyDescent="0.3">
      <c r="A167" s="1"/>
      <c r="B167" s="135" t="s">
        <v>19</v>
      </c>
      <c r="C167" s="99" t="s">
        <v>81</v>
      </c>
      <c r="D167" s="100">
        <v>250</v>
      </c>
      <c r="E167" s="101">
        <f>1.98*250/200</f>
        <v>2.4750000000000001</v>
      </c>
      <c r="F167" s="101">
        <f>3.51*250/200</f>
        <v>4.3875000000000002</v>
      </c>
      <c r="G167" s="101">
        <f>13.74*250/200</f>
        <v>17.175000000000001</v>
      </c>
      <c r="H167" s="101">
        <f>95.14*250/200</f>
        <v>118.925</v>
      </c>
      <c r="I167" s="77">
        <f>13.42*250/200</f>
        <v>16.774999999999999</v>
      </c>
      <c r="J167" s="103">
        <f>20.31*250/200</f>
        <v>25.387499999999999</v>
      </c>
      <c r="K167" s="73">
        <f>21.25*250/200</f>
        <v>26.5625</v>
      </c>
      <c r="L167" s="74">
        <f>0.8*250/200</f>
        <v>1</v>
      </c>
      <c r="M167" s="1"/>
      <c r="N167" s="1"/>
    </row>
    <row r="168" spans="1:14" ht="24.75" customHeight="1" thickBot="1" x14ac:dyDescent="0.3">
      <c r="A168" s="1"/>
      <c r="B168" s="102" t="s">
        <v>70</v>
      </c>
      <c r="C168" s="75" t="s">
        <v>127</v>
      </c>
      <c r="D168" s="76">
        <v>250</v>
      </c>
      <c r="E168" s="77">
        <f>17.02*250/200</f>
        <v>21.274999999999999</v>
      </c>
      <c r="F168" s="77">
        <f>18.62*250/200</f>
        <v>23.274999999999999</v>
      </c>
      <c r="G168" s="77">
        <f>18.01*250/200</f>
        <v>22.512499999999999</v>
      </c>
      <c r="H168" s="74">
        <f>309.22*250/200</f>
        <v>386.52499999999998</v>
      </c>
      <c r="I168" s="74">
        <f>59.16*250/200</f>
        <v>73.95</v>
      </c>
      <c r="J168" s="96">
        <f>36.9*250/200</f>
        <v>46.125</v>
      </c>
      <c r="K168" s="78">
        <f>47.47*250/200</f>
        <v>59.337499999999999</v>
      </c>
      <c r="L168" s="74">
        <f>2.48*250/200</f>
        <v>3.1</v>
      </c>
      <c r="M168" s="1"/>
      <c r="N168" s="1"/>
    </row>
    <row r="169" spans="1:14" ht="24" customHeight="1" thickBot="1" x14ac:dyDescent="0.3">
      <c r="A169" s="1"/>
      <c r="B169" s="98" t="s">
        <v>14</v>
      </c>
      <c r="C169" s="99" t="s">
        <v>46</v>
      </c>
      <c r="D169" s="100">
        <v>40</v>
      </c>
      <c r="E169" s="101">
        <v>3.04</v>
      </c>
      <c r="F169" s="101">
        <v>0.32</v>
      </c>
      <c r="G169" s="101">
        <v>19.68</v>
      </c>
      <c r="H169" s="101">
        <v>94</v>
      </c>
      <c r="I169" s="77">
        <v>0</v>
      </c>
      <c r="J169" s="103">
        <v>9.1999999999999993</v>
      </c>
      <c r="K169" s="78">
        <v>13.2</v>
      </c>
      <c r="L169" s="74">
        <v>0.76</v>
      </c>
      <c r="M169" s="1"/>
      <c r="N169" s="1"/>
    </row>
    <row r="170" spans="1:14" ht="24" customHeight="1" thickBot="1" x14ac:dyDescent="0.3">
      <c r="A170" s="1"/>
      <c r="B170" s="69" t="s">
        <v>16</v>
      </c>
      <c r="C170" s="75" t="s">
        <v>47</v>
      </c>
      <c r="D170" s="76">
        <v>30</v>
      </c>
      <c r="E170" s="77">
        <v>1.98</v>
      </c>
      <c r="F170" s="77">
        <v>0.36</v>
      </c>
      <c r="G170" s="77">
        <v>10.02</v>
      </c>
      <c r="H170" s="101">
        <v>52.2</v>
      </c>
      <c r="I170" s="74">
        <v>0</v>
      </c>
      <c r="J170" s="96">
        <v>9.9</v>
      </c>
      <c r="K170" s="78">
        <v>17.100000000000001</v>
      </c>
      <c r="L170" s="74">
        <v>1.35</v>
      </c>
      <c r="M170" s="1"/>
      <c r="N170" s="1"/>
    </row>
    <row r="171" spans="1:14" ht="24" customHeight="1" thickBot="1" x14ac:dyDescent="0.3">
      <c r="A171" s="1"/>
      <c r="B171" s="98" t="s">
        <v>13</v>
      </c>
      <c r="C171" s="99" t="s">
        <v>49</v>
      </c>
      <c r="D171" s="100">
        <v>180</v>
      </c>
      <c r="E171" s="101">
        <v>0</v>
      </c>
      <c r="F171" s="101">
        <v>0</v>
      </c>
      <c r="G171" s="101">
        <v>6.29</v>
      </c>
      <c r="H171" s="101">
        <v>25.14</v>
      </c>
      <c r="I171" s="74">
        <v>0.05</v>
      </c>
      <c r="J171" s="103">
        <v>2.42</v>
      </c>
      <c r="K171" s="104">
        <v>1.98</v>
      </c>
      <c r="L171" s="74">
        <v>0.39</v>
      </c>
      <c r="M171" s="1"/>
      <c r="N171" s="1"/>
    </row>
    <row r="172" spans="1:14" ht="28.5" customHeight="1" thickBot="1" x14ac:dyDescent="0.35">
      <c r="A172" s="1"/>
      <c r="B172" s="153"/>
      <c r="C172" s="151" t="s">
        <v>2</v>
      </c>
      <c r="D172" s="82">
        <f t="shared" ref="D172:L172" si="25">SUM(D166:D171)</f>
        <v>810</v>
      </c>
      <c r="E172" s="109">
        <f t="shared" si="25"/>
        <v>29.63</v>
      </c>
      <c r="F172" s="83">
        <f t="shared" si="25"/>
        <v>31.392499999999998</v>
      </c>
      <c r="G172" s="109">
        <f t="shared" si="25"/>
        <v>80.807500000000005</v>
      </c>
      <c r="H172" s="83">
        <f t="shared" si="25"/>
        <v>726.92</v>
      </c>
      <c r="I172" s="109">
        <f t="shared" si="25"/>
        <v>107.005</v>
      </c>
      <c r="J172" s="83">
        <f t="shared" si="25"/>
        <v>110.45250000000001</v>
      </c>
      <c r="K172" s="83">
        <f t="shared" si="25"/>
        <v>128.47999999999999</v>
      </c>
      <c r="L172" s="152">
        <f t="shared" si="25"/>
        <v>13.799999999999999</v>
      </c>
      <c r="M172" s="1"/>
      <c r="N172" s="1"/>
    </row>
    <row r="173" spans="1:14" ht="27" customHeight="1" thickBot="1" x14ac:dyDescent="0.35">
      <c r="A173" s="1"/>
      <c r="B173" s="69"/>
      <c r="C173" s="81" t="s">
        <v>32</v>
      </c>
      <c r="D173" s="106">
        <f t="shared" ref="D173:L173" si="26">D172+D164</f>
        <v>1400</v>
      </c>
      <c r="E173" s="107">
        <f t="shared" si="26"/>
        <v>44.773333333333333</v>
      </c>
      <c r="F173" s="107">
        <f t="shared" si="26"/>
        <v>45.06583333333333</v>
      </c>
      <c r="G173" s="107">
        <f t="shared" si="26"/>
        <v>174.90350000000001</v>
      </c>
      <c r="H173" s="107">
        <f t="shared" si="26"/>
        <v>1286.06</v>
      </c>
      <c r="I173" s="107">
        <f t="shared" si="26"/>
        <v>134.10499999999999</v>
      </c>
      <c r="J173" s="107">
        <f t="shared" si="26"/>
        <v>183.06583333333336</v>
      </c>
      <c r="K173" s="107">
        <f t="shared" si="26"/>
        <v>198.00666666666666</v>
      </c>
      <c r="L173" s="83">
        <f t="shared" si="26"/>
        <v>30.060000000000002</v>
      </c>
      <c r="M173" s="1"/>
      <c r="N173" s="1"/>
    </row>
    <row r="174" spans="1:14" ht="22.5" customHeight="1" thickBot="1" x14ac:dyDescent="0.3">
      <c r="A174" s="1"/>
      <c r="B174" s="18" t="s">
        <v>26</v>
      </c>
      <c r="C174" s="48"/>
      <c r="D174" s="48"/>
      <c r="E174" s="48"/>
      <c r="F174" s="48"/>
      <c r="G174" s="48"/>
      <c r="H174" s="48"/>
      <c r="I174" s="48"/>
      <c r="J174" s="48"/>
      <c r="K174" s="48"/>
      <c r="L174" s="66"/>
      <c r="M174" s="1"/>
      <c r="N174" s="1"/>
    </row>
    <row r="175" spans="1:14" ht="22.5" customHeight="1" thickBot="1" x14ac:dyDescent="0.3">
      <c r="A175" s="1"/>
      <c r="B175" s="195" t="s">
        <v>4</v>
      </c>
      <c r="C175" s="197" t="s">
        <v>0</v>
      </c>
      <c r="D175" s="197" t="s">
        <v>35</v>
      </c>
      <c r="E175" s="202" t="s">
        <v>12</v>
      </c>
      <c r="F175" s="203"/>
      <c r="G175" s="203"/>
      <c r="H175" s="204"/>
      <c r="I175" s="205" t="s">
        <v>40</v>
      </c>
      <c r="J175" s="199" t="s">
        <v>41</v>
      </c>
      <c r="K175" s="199" t="s">
        <v>42</v>
      </c>
      <c r="L175" s="199" t="s">
        <v>44</v>
      </c>
      <c r="M175" s="1"/>
      <c r="N175" s="1"/>
    </row>
    <row r="176" spans="1:14" ht="36" customHeight="1" thickBot="1" x14ac:dyDescent="0.3">
      <c r="A176" s="1"/>
      <c r="B176" s="196"/>
      <c r="C176" s="198"/>
      <c r="D176" s="198"/>
      <c r="E176" s="61" t="s">
        <v>36</v>
      </c>
      <c r="F176" s="61" t="s">
        <v>37</v>
      </c>
      <c r="G176" s="61" t="s">
        <v>38</v>
      </c>
      <c r="H176" s="61" t="s">
        <v>39</v>
      </c>
      <c r="I176" s="206"/>
      <c r="J176" s="200"/>
      <c r="K176" s="200"/>
      <c r="L176" s="200"/>
      <c r="M176" s="1"/>
      <c r="N176" s="1"/>
    </row>
    <row r="177" spans="1:14" ht="25.5" customHeight="1" thickBot="1" x14ac:dyDescent="0.3">
      <c r="A177" s="1"/>
      <c r="B177" s="30" t="s">
        <v>29</v>
      </c>
      <c r="C177" s="43"/>
      <c r="D177" s="43"/>
      <c r="E177" s="43"/>
      <c r="F177" s="43"/>
      <c r="G177" s="43"/>
      <c r="H177" s="43"/>
      <c r="I177" s="43"/>
      <c r="J177" s="43"/>
      <c r="K177" s="68"/>
      <c r="L177" s="68"/>
      <c r="M177" s="1"/>
      <c r="N177" s="1"/>
    </row>
    <row r="178" spans="1:14" ht="25.5" customHeight="1" thickBot="1" x14ac:dyDescent="0.3">
      <c r="A178" s="1"/>
      <c r="B178" s="135" t="s">
        <v>53</v>
      </c>
      <c r="C178" s="70" t="s">
        <v>129</v>
      </c>
      <c r="D178" s="71">
        <v>30</v>
      </c>
      <c r="E178" s="72">
        <v>0.24</v>
      </c>
      <c r="F178" s="72">
        <v>0.03</v>
      </c>
      <c r="G178" s="72">
        <v>0.51</v>
      </c>
      <c r="H178" s="74">
        <v>3.9</v>
      </c>
      <c r="I178" s="77">
        <v>1.5</v>
      </c>
      <c r="J178" s="96">
        <v>6.9</v>
      </c>
      <c r="K178" s="78">
        <v>4.2</v>
      </c>
      <c r="L178" s="97">
        <v>0.18</v>
      </c>
      <c r="M178" s="1"/>
      <c r="N178" s="1"/>
    </row>
    <row r="179" spans="1:14" ht="24.75" customHeight="1" thickBot="1" x14ac:dyDescent="0.3">
      <c r="A179" s="1"/>
      <c r="B179" s="69" t="s">
        <v>110</v>
      </c>
      <c r="C179" s="70" t="s">
        <v>116</v>
      </c>
      <c r="D179" s="71">
        <v>200</v>
      </c>
      <c r="E179" s="72">
        <v>24.8</v>
      </c>
      <c r="F179" s="72">
        <v>6.2</v>
      </c>
      <c r="G179" s="72">
        <v>17.600000000000001</v>
      </c>
      <c r="H179" s="72">
        <v>225.7</v>
      </c>
      <c r="I179" s="72">
        <v>10.3</v>
      </c>
      <c r="J179" s="72">
        <v>25</v>
      </c>
      <c r="K179" s="73">
        <v>101</v>
      </c>
      <c r="L179" s="74">
        <v>2.29</v>
      </c>
      <c r="M179" s="1"/>
      <c r="N179" s="1"/>
    </row>
    <row r="180" spans="1:14" ht="27" customHeight="1" thickBot="1" x14ac:dyDescent="0.3">
      <c r="A180" s="1"/>
      <c r="B180" s="69" t="s">
        <v>14</v>
      </c>
      <c r="C180" s="70" t="s">
        <v>46</v>
      </c>
      <c r="D180" s="71">
        <v>50</v>
      </c>
      <c r="E180" s="72">
        <v>3.8</v>
      </c>
      <c r="F180" s="72">
        <v>0.4</v>
      </c>
      <c r="G180" s="72">
        <v>24.6</v>
      </c>
      <c r="H180" s="72">
        <v>117.5</v>
      </c>
      <c r="I180" s="72">
        <v>0</v>
      </c>
      <c r="J180" s="72">
        <v>11.5</v>
      </c>
      <c r="K180" s="73">
        <v>16.5</v>
      </c>
      <c r="L180" s="74">
        <v>0.95</v>
      </c>
      <c r="M180" s="1"/>
      <c r="N180" s="1"/>
    </row>
    <row r="181" spans="1:14" ht="25.5" customHeight="1" thickBot="1" x14ac:dyDescent="0.3">
      <c r="A181" s="1"/>
      <c r="B181" s="69" t="s">
        <v>16</v>
      </c>
      <c r="C181" s="75" t="s">
        <v>47</v>
      </c>
      <c r="D181" s="76">
        <v>50</v>
      </c>
      <c r="E181" s="77">
        <v>3.3</v>
      </c>
      <c r="F181" s="77">
        <v>0.6</v>
      </c>
      <c r="G181" s="77">
        <v>16.7</v>
      </c>
      <c r="H181" s="77">
        <v>87</v>
      </c>
      <c r="I181" s="77">
        <v>0</v>
      </c>
      <c r="J181" s="77">
        <v>16.5</v>
      </c>
      <c r="K181" s="78">
        <v>28.5</v>
      </c>
      <c r="L181" s="74">
        <v>2.25</v>
      </c>
      <c r="M181" s="1"/>
      <c r="N181" s="1"/>
    </row>
    <row r="182" spans="1:14" ht="25.5" customHeight="1" thickBot="1" x14ac:dyDescent="0.3">
      <c r="A182" s="1"/>
      <c r="B182" s="69" t="s">
        <v>13</v>
      </c>
      <c r="C182" s="99" t="s">
        <v>49</v>
      </c>
      <c r="D182" s="100">
        <v>200</v>
      </c>
      <c r="E182" s="101">
        <v>0</v>
      </c>
      <c r="F182" s="101">
        <v>0</v>
      </c>
      <c r="G182" s="101">
        <v>6.9860000000000007</v>
      </c>
      <c r="H182" s="101">
        <v>27.93</v>
      </c>
      <c r="I182" s="101">
        <v>0.05</v>
      </c>
      <c r="J182" s="101">
        <v>2.69</v>
      </c>
      <c r="K182" s="73">
        <v>2.2000000000000002</v>
      </c>
      <c r="L182" s="74">
        <v>0.43</v>
      </c>
      <c r="M182" s="1"/>
      <c r="N182" s="1"/>
    </row>
    <row r="183" spans="1:14" ht="34.5" customHeight="1" thickBot="1" x14ac:dyDescent="0.35">
      <c r="A183" s="1"/>
      <c r="B183" s="154"/>
      <c r="C183" s="126" t="s">
        <v>30</v>
      </c>
      <c r="D183" s="155">
        <f t="shared" ref="D183:L183" si="27">SUM(D178:D182)</f>
        <v>530</v>
      </c>
      <c r="E183" s="83">
        <f t="shared" si="27"/>
        <v>32.14</v>
      </c>
      <c r="F183" s="109">
        <f t="shared" si="27"/>
        <v>7.23</v>
      </c>
      <c r="G183" s="83">
        <f t="shared" si="27"/>
        <v>66.396000000000015</v>
      </c>
      <c r="H183" s="83">
        <f t="shared" si="27"/>
        <v>462.03000000000003</v>
      </c>
      <c r="I183" s="109">
        <f t="shared" si="27"/>
        <v>11.850000000000001</v>
      </c>
      <c r="J183" s="83">
        <f t="shared" si="27"/>
        <v>62.589999999999996</v>
      </c>
      <c r="K183" s="83">
        <f t="shared" si="27"/>
        <v>152.39999999999998</v>
      </c>
      <c r="L183" s="152">
        <f t="shared" si="27"/>
        <v>6.1</v>
      </c>
      <c r="M183" s="1"/>
      <c r="N183" s="1"/>
    </row>
    <row r="184" spans="1:14" ht="27" customHeight="1" thickBot="1" x14ac:dyDescent="0.35">
      <c r="A184" s="1"/>
      <c r="B184" s="156" t="s">
        <v>21</v>
      </c>
      <c r="C184" s="157"/>
      <c r="D184" s="158"/>
      <c r="E184" s="133"/>
      <c r="F184" s="133"/>
      <c r="G184" s="133"/>
      <c r="H184" s="133"/>
      <c r="I184" s="133"/>
      <c r="J184" s="133"/>
      <c r="K184" s="159"/>
      <c r="L184" s="160"/>
      <c r="M184" s="1"/>
      <c r="N184" s="1"/>
    </row>
    <row r="185" spans="1:14" ht="24.75" customHeight="1" thickBot="1" x14ac:dyDescent="0.3">
      <c r="A185" s="1"/>
      <c r="B185" s="98" t="s">
        <v>53</v>
      </c>
      <c r="C185" s="99" t="s">
        <v>129</v>
      </c>
      <c r="D185" s="100">
        <v>100</v>
      </c>
      <c r="E185" s="101">
        <f>0.66*100/60</f>
        <v>1.1000000000000001</v>
      </c>
      <c r="F185" s="101">
        <f>0.06*100/60</f>
        <v>0.1</v>
      </c>
      <c r="G185" s="101">
        <f>0.96*100/60</f>
        <v>1.6</v>
      </c>
      <c r="H185" s="101">
        <f>9.6*100/60</f>
        <v>16</v>
      </c>
      <c r="I185" s="77">
        <v>10</v>
      </c>
      <c r="J185" s="103">
        <f>8.4*100/60</f>
        <v>14</v>
      </c>
      <c r="K185" s="77">
        <f>12*100/60</f>
        <v>20</v>
      </c>
      <c r="L185" s="77">
        <f>0.54*100/60</f>
        <v>0.9</v>
      </c>
      <c r="M185" s="1"/>
      <c r="N185" s="1"/>
    </row>
    <row r="186" spans="1:14" ht="24" customHeight="1" thickBot="1" x14ac:dyDescent="0.3">
      <c r="A186" s="1"/>
      <c r="B186" s="98" t="s">
        <v>78</v>
      </c>
      <c r="C186" s="99" t="s">
        <v>56</v>
      </c>
      <c r="D186" s="100">
        <v>250</v>
      </c>
      <c r="E186" s="101">
        <v>1.8</v>
      </c>
      <c r="F186" s="101">
        <v>4.9249999999999998</v>
      </c>
      <c r="G186" s="101">
        <v>10.9375</v>
      </c>
      <c r="H186" s="101">
        <v>103.75</v>
      </c>
      <c r="I186" s="77">
        <v>19.987500000000001</v>
      </c>
      <c r="J186" s="103">
        <v>62.85</v>
      </c>
      <c r="K186" s="78">
        <v>24.65</v>
      </c>
      <c r="L186" s="74">
        <v>1.1125</v>
      </c>
      <c r="M186" s="1"/>
      <c r="N186" s="1"/>
    </row>
    <row r="187" spans="1:14" ht="24.75" customHeight="1" thickBot="1" x14ac:dyDescent="0.3">
      <c r="A187" s="1"/>
      <c r="B187" s="102" t="s">
        <v>65</v>
      </c>
      <c r="C187" s="75" t="s">
        <v>52</v>
      </c>
      <c r="D187" s="76">
        <v>250</v>
      </c>
      <c r="E187" s="77">
        <v>24.42</v>
      </c>
      <c r="F187" s="77">
        <v>8.1840000000000011</v>
      </c>
      <c r="G187" s="77">
        <v>45.06</v>
      </c>
      <c r="H187" s="74">
        <v>351.80400000000003</v>
      </c>
      <c r="I187" s="74">
        <v>5.0039999999999996</v>
      </c>
      <c r="J187" s="96">
        <v>26.64</v>
      </c>
      <c r="K187" s="78">
        <v>110.748</v>
      </c>
      <c r="L187" s="74">
        <v>2.1360000000000001</v>
      </c>
      <c r="M187" s="1"/>
      <c r="N187" s="1"/>
    </row>
    <row r="188" spans="1:14" ht="24.75" customHeight="1" thickBot="1" x14ac:dyDescent="0.3">
      <c r="A188" s="1"/>
      <c r="B188" s="98" t="s">
        <v>14</v>
      </c>
      <c r="C188" s="99" t="s">
        <v>46</v>
      </c>
      <c r="D188" s="161">
        <v>40</v>
      </c>
      <c r="E188" s="162">
        <v>3.04</v>
      </c>
      <c r="F188" s="162">
        <v>0.32</v>
      </c>
      <c r="G188" s="162">
        <v>19.68</v>
      </c>
      <c r="H188" s="162">
        <v>94</v>
      </c>
      <c r="I188" s="163">
        <v>0</v>
      </c>
      <c r="J188" s="164">
        <v>9.1999999999999993</v>
      </c>
      <c r="K188" s="165">
        <v>13.2</v>
      </c>
      <c r="L188" s="166">
        <v>0.76</v>
      </c>
      <c r="M188" s="1"/>
      <c r="N188" s="1"/>
    </row>
    <row r="189" spans="1:14" ht="24" customHeight="1" thickBot="1" x14ac:dyDescent="0.3">
      <c r="A189" s="1"/>
      <c r="B189" s="69" t="s">
        <v>16</v>
      </c>
      <c r="C189" s="167" t="s">
        <v>47</v>
      </c>
      <c r="D189" s="168">
        <v>30</v>
      </c>
      <c r="E189" s="163">
        <v>1.98</v>
      </c>
      <c r="F189" s="163">
        <v>0.36</v>
      </c>
      <c r="G189" s="163">
        <v>10.02</v>
      </c>
      <c r="H189" s="162">
        <v>52.2</v>
      </c>
      <c r="I189" s="166">
        <v>0</v>
      </c>
      <c r="J189" s="169">
        <v>9.9</v>
      </c>
      <c r="K189" s="165">
        <v>17.100000000000001</v>
      </c>
      <c r="L189" s="170">
        <v>1.35</v>
      </c>
      <c r="M189" s="1"/>
      <c r="N189" s="1"/>
    </row>
    <row r="190" spans="1:14" ht="24" customHeight="1" thickBot="1" x14ac:dyDescent="0.3">
      <c r="A190" s="1"/>
      <c r="B190" s="69" t="s">
        <v>27</v>
      </c>
      <c r="C190" s="75" t="s">
        <v>112</v>
      </c>
      <c r="D190" s="161">
        <v>180</v>
      </c>
      <c r="E190" s="162">
        <v>1.04</v>
      </c>
      <c r="F190" s="162">
        <v>0.27</v>
      </c>
      <c r="G190" s="162">
        <v>42.53</v>
      </c>
      <c r="H190" s="162">
        <v>176.74</v>
      </c>
      <c r="I190" s="162">
        <v>0.72</v>
      </c>
      <c r="J190" s="162">
        <v>5.26</v>
      </c>
      <c r="K190" s="171">
        <v>30.03</v>
      </c>
      <c r="L190" s="166">
        <v>0.86</v>
      </c>
      <c r="M190" s="1"/>
      <c r="N190" s="1"/>
    </row>
    <row r="191" spans="1:14" ht="30.75" customHeight="1" thickBot="1" x14ac:dyDescent="0.35">
      <c r="A191" s="1"/>
      <c r="B191" s="172"/>
      <c r="C191" s="173" t="s">
        <v>2</v>
      </c>
      <c r="D191" s="174">
        <f t="shared" ref="D191:L191" si="28">SUM(D185:D190)</f>
        <v>850</v>
      </c>
      <c r="E191" s="175">
        <f t="shared" si="28"/>
        <v>33.379999999999995</v>
      </c>
      <c r="F191" s="175">
        <f t="shared" si="28"/>
        <v>14.158999999999999</v>
      </c>
      <c r="G191" s="175">
        <f t="shared" si="28"/>
        <v>129.82749999999999</v>
      </c>
      <c r="H191" s="175">
        <f t="shared" si="28"/>
        <v>794.49400000000014</v>
      </c>
      <c r="I191" s="176">
        <f t="shared" si="28"/>
        <v>35.711500000000001</v>
      </c>
      <c r="J191" s="175">
        <f t="shared" si="28"/>
        <v>127.85000000000001</v>
      </c>
      <c r="K191" s="176">
        <f t="shared" si="28"/>
        <v>215.72799999999998</v>
      </c>
      <c r="L191" s="177">
        <f t="shared" si="28"/>
        <v>7.1185</v>
      </c>
      <c r="M191" s="1"/>
      <c r="N191" s="1"/>
    </row>
    <row r="192" spans="1:14" ht="29.25" customHeight="1" thickBot="1" x14ac:dyDescent="0.35">
      <c r="A192" s="1"/>
      <c r="B192" s="178"/>
      <c r="C192" s="179" t="s">
        <v>3</v>
      </c>
      <c r="D192" s="180">
        <f t="shared" ref="D192:L192" si="29">D191+D183</f>
        <v>1380</v>
      </c>
      <c r="E192" s="177">
        <f t="shared" si="29"/>
        <v>65.52</v>
      </c>
      <c r="F192" s="177">
        <f t="shared" si="29"/>
        <v>21.388999999999999</v>
      </c>
      <c r="G192" s="177">
        <f t="shared" si="29"/>
        <v>196.2235</v>
      </c>
      <c r="H192" s="177">
        <f t="shared" si="29"/>
        <v>1256.5240000000001</v>
      </c>
      <c r="I192" s="177">
        <f t="shared" si="29"/>
        <v>47.561500000000002</v>
      </c>
      <c r="J192" s="177">
        <f t="shared" si="29"/>
        <v>190.44</v>
      </c>
      <c r="K192" s="177">
        <f t="shared" si="29"/>
        <v>368.12799999999993</v>
      </c>
      <c r="L192" s="177">
        <f t="shared" si="29"/>
        <v>13.218499999999999</v>
      </c>
      <c r="M192" s="1"/>
      <c r="N192" s="1"/>
    </row>
    <row r="193" spans="1:14" ht="30.75" customHeight="1" thickBot="1" x14ac:dyDescent="0.4">
      <c r="A193" s="1"/>
      <c r="B193" s="181"/>
      <c r="C193" s="182" t="s">
        <v>11</v>
      </c>
      <c r="D193" s="183">
        <f t="shared" ref="D193:L193" si="30">D192+D173+D154+D135+D116+D95+D76+D58+D39+D20</f>
        <v>13915</v>
      </c>
      <c r="E193" s="184">
        <f t="shared" si="30"/>
        <v>494.94588888888887</v>
      </c>
      <c r="F193" s="184">
        <f t="shared" si="30"/>
        <v>403.05255555555556</v>
      </c>
      <c r="G193" s="184">
        <f t="shared" si="30"/>
        <v>1917.9136666666668</v>
      </c>
      <c r="H193" s="184">
        <f t="shared" si="30"/>
        <v>13208.889833333333</v>
      </c>
      <c r="I193" s="184">
        <f t="shared" si="30"/>
        <v>926.19611111111112</v>
      </c>
      <c r="J193" s="185">
        <f t="shared" si="30"/>
        <v>3559.9715555555558</v>
      </c>
      <c r="K193" s="185">
        <f t="shared" si="30"/>
        <v>2516.6815555555554</v>
      </c>
      <c r="L193" s="186">
        <f t="shared" si="30"/>
        <v>136.84049999999999</v>
      </c>
      <c r="M193" s="1"/>
      <c r="N193" s="1"/>
    </row>
    <row r="194" spans="1:14" ht="31.5" customHeight="1" thickBot="1" x14ac:dyDescent="0.4">
      <c r="A194" s="1"/>
      <c r="B194" s="187"/>
      <c r="C194" s="188" t="s">
        <v>10</v>
      </c>
      <c r="D194" s="189">
        <f>D193/10</f>
        <v>1391.5</v>
      </c>
      <c r="E194" s="190">
        <f t="shared" ref="E194:L194" si="31">E193/10</f>
        <v>49.494588888888885</v>
      </c>
      <c r="F194" s="191">
        <f t="shared" si="31"/>
        <v>40.305255555555554</v>
      </c>
      <c r="G194" s="192">
        <f t="shared" si="31"/>
        <v>191.79136666666668</v>
      </c>
      <c r="H194" s="192">
        <f t="shared" si="31"/>
        <v>1320.8889833333333</v>
      </c>
      <c r="I194" s="190">
        <f t="shared" si="31"/>
        <v>92.619611111111112</v>
      </c>
      <c r="J194" s="193">
        <f t="shared" si="31"/>
        <v>355.99715555555559</v>
      </c>
      <c r="K194" s="186">
        <f t="shared" si="31"/>
        <v>251.66815555555553</v>
      </c>
      <c r="L194" s="186">
        <f t="shared" si="31"/>
        <v>13.684049999999999</v>
      </c>
      <c r="M194" s="1"/>
      <c r="N194" s="1"/>
    </row>
    <row r="195" spans="1:14" ht="22.5" customHeight="1" x14ac:dyDescent="0.25">
      <c r="A195" s="7" t="s">
        <v>34</v>
      </c>
      <c r="B195" s="201" t="s">
        <v>131</v>
      </c>
      <c r="C195" s="201"/>
      <c r="D195" s="201"/>
      <c r="E195" s="201"/>
      <c r="F195" s="201"/>
      <c r="G195" s="201"/>
      <c r="H195" s="201"/>
      <c r="I195" s="201"/>
      <c r="J195" s="201"/>
      <c r="K195" s="201"/>
      <c r="L195" s="201"/>
      <c r="M195" s="1"/>
      <c r="N195" s="1"/>
    </row>
    <row r="196" spans="1:14" ht="22.5" customHeight="1" x14ac:dyDescent="0.25">
      <c r="A196" s="1"/>
      <c r="B196" s="4"/>
      <c r="C196" s="4"/>
      <c r="D196" s="3"/>
      <c r="E196" s="3"/>
      <c r="F196" s="3"/>
      <c r="G196" s="3"/>
      <c r="H196" s="3"/>
      <c r="I196" s="3"/>
      <c r="J196" s="3"/>
      <c r="K196" s="2"/>
      <c r="L196" s="3"/>
      <c r="M196" s="1"/>
      <c r="N196" s="1"/>
    </row>
    <row r="197" spans="1:14" ht="22.5" customHeight="1" x14ac:dyDescent="0.25">
      <c r="A197" s="1"/>
      <c r="B197" s="4"/>
      <c r="C197" s="4"/>
      <c r="D197" s="3"/>
      <c r="E197" s="3"/>
      <c r="F197" s="3"/>
      <c r="G197" s="3"/>
      <c r="H197" s="3"/>
      <c r="I197" s="3"/>
      <c r="J197" s="3"/>
      <c r="K197" s="2"/>
      <c r="L197" s="3"/>
      <c r="M197" s="5"/>
      <c r="N197" s="5"/>
    </row>
  </sheetData>
  <mergeCells count="82">
    <mergeCell ref="B1:L1"/>
    <mergeCell ref="B3:B4"/>
    <mergeCell ref="C3:C4"/>
    <mergeCell ref="D3:D4"/>
    <mergeCell ref="E3:H3"/>
    <mergeCell ref="I3:I4"/>
    <mergeCell ref="J3:J4"/>
    <mergeCell ref="K3:K4"/>
    <mergeCell ref="L3:L4"/>
    <mergeCell ref="K22:K23"/>
    <mergeCell ref="L22:L23"/>
    <mergeCell ref="B41:B42"/>
    <mergeCell ref="C41:C42"/>
    <mergeCell ref="D41:D42"/>
    <mergeCell ref="E41:H41"/>
    <mergeCell ref="I41:I42"/>
    <mergeCell ref="J41:J42"/>
    <mergeCell ref="K41:K42"/>
    <mergeCell ref="L41:L42"/>
    <mergeCell ref="B22:B23"/>
    <mergeCell ref="C22:C23"/>
    <mergeCell ref="D22:D23"/>
    <mergeCell ref="E22:H22"/>
    <mergeCell ref="I22:I23"/>
    <mergeCell ref="J22:J23"/>
    <mergeCell ref="K60:K61"/>
    <mergeCell ref="L60:L61"/>
    <mergeCell ref="B78:B79"/>
    <mergeCell ref="C78:C79"/>
    <mergeCell ref="D78:D79"/>
    <mergeCell ref="E78:H78"/>
    <mergeCell ref="I78:I79"/>
    <mergeCell ref="J78:J79"/>
    <mergeCell ref="K78:K79"/>
    <mergeCell ref="L78:L79"/>
    <mergeCell ref="B60:B61"/>
    <mergeCell ref="C60:C61"/>
    <mergeCell ref="D60:D61"/>
    <mergeCell ref="E60:H60"/>
    <mergeCell ref="I60:I61"/>
    <mergeCell ref="J60:J61"/>
    <mergeCell ref="K97:K98"/>
    <mergeCell ref="L97:L98"/>
    <mergeCell ref="B118:B119"/>
    <mergeCell ref="C118:C119"/>
    <mergeCell ref="D118:D119"/>
    <mergeCell ref="E118:H118"/>
    <mergeCell ref="I118:I119"/>
    <mergeCell ref="J118:J119"/>
    <mergeCell ref="K118:K119"/>
    <mergeCell ref="L118:L119"/>
    <mergeCell ref="B97:B98"/>
    <mergeCell ref="C97:C98"/>
    <mergeCell ref="D97:D98"/>
    <mergeCell ref="E97:H97"/>
    <mergeCell ref="I97:I98"/>
    <mergeCell ref="J97:J98"/>
    <mergeCell ref="K137:K138"/>
    <mergeCell ref="L137:L138"/>
    <mergeCell ref="B156:B157"/>
    <mergeCell ref="C156:C157"/>
    <mergeCell ref="D156:D157"/>
    <mergeCell ref="E156:H156"/>
    <mergeCell ref="I156:I157"/>
    <mergeCell ref="J156:J157"/>
    <mergeCell ref="K156:K157"/>
    <mergeCell ref="L156:L157"/>
    <mergeCell ref="B137:B138"/>
    <mergeCell ref="C137:C138"/>
    <mergeCell ref="D137:D138"/>
    <mergeCell ref="E137:H137"/>
    <mergeCell ref="I137:I138"/>
    <mergeCell ref="J137:J138"/>
    <mergeCell ref="K175:K176"/>
    <mergeCell ref="L175:L176"/>
    <mergeCell ref="B195:L195"/>
    <mergeCell ref="B175:B176"/>
    <mergeCell ref="C175:C176"/>
    <mergeCell ref="D175:D176"/>
    <mergeCell ref="E175:H175"/>
    <mergeCell ref="I175:I176"/>
    <mergeCell ref="J175:J176"/>
  </mergeCells>
  <pageMargins left="0.11811023622047245" right="0.11811023622047245" top="0.35433070866141736" bottom="0" header="0" footer="0"/>
  <pageSetup paperSize="9" scale="54" orientation="landscape" r:id="rId1"/>
  <rowBreaks count="4" manualBreakCount="4">
    <brk id="39" max="16383" man="1"/>
    <brk id="76" max="16383" man="1"/>
    <brk id="116" max="16383" man="1"/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меню 1-4 классы</vt:lpstr>
      <vt:lpstr>меню 5-11 классы</vt:lpstr>
      <vt:lpstr>'меню 1-4 классы'!_Hlk57507523</vt:lpstr>
      <vt:lpstr>'меню 1-4 классы'!Область_печати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2025-09-11T14:04:47Z</dcterms:modified>
</cp:coreProperties>
</file>